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005" windowHeight="12000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VORN!$I$36</definedName>
  </definedNames>
  <calcPr calcId="125725" iterateCount="1"/>
</workbook>
</file>

<file path=xl/calcChain.xml><?xml version="1.0" encoding="utf-8"?>
<calcChain xmlns="http://schemas.openxmlformats.org/spreadsheetml/2006/main">
  <c r="AS1" i="1"/>
  <c r="AT1"/>
  <c r="AU1"/>
  <c r="H13"/>
  <c r="J13"/>
  <c r="AB13"/>
  <c r="AF13"/>
  <c r="AJ13"/>
  <c r="AS12" s="1"/>
  <c r="AK13"/>
  <c r="AT12" s="1"/>
  <c r="AL13"/>
  <c r="AO13"/>
  <c r="AP13"/>
  <c r="BI13" s="1"/>
  <c r="AW13"/>
  <c r="BD13"/>
  <c r="BF13"/>
  <c r="BH13"/>
  <c r="AD13" s="1"/>
  <c r="BJ13"/>
  <c r="J15"/>
  <c r="AL15" s="1"/>
  <c r="AU12" s="1"/>
  <c r="Z15"/>
  <c r="AE15"/>
  <c r="AH15"/>
  <c r="AJ15"/>
  <c r="AK15"/>
  <c r="AO15"/>
  <c r="AP15"/>
  <c r="BD15"/>
  <c r="BF15"/>
  <c r="BH15"/>
  <c r="BI15"/>
  <c r="BJ15"/>
  <c r="J17"/>
  <c r="H18"/>
  <c r="J18"/>
  <c r="AB18"/>
  <c r="AE18"/>
  <c r="AF18"/>
  <c r="AJ18"/>
  <c r="AK18"/>
  <c r="AL18"/>
  <c r="AO18"/>
  <c r="AP18"/>
  <c r="AW18"/>
  <c r="BD18"/>
  <c r="BF18"/>
  <c r="BH18"/>
  <c r="AD18" s="1"/>
  <c r="BI18"/>
  <c r="BJ18"/>
  <c r="J20"/>
  <c r="AL20" s="1"/>
  <c r="AU17" s="1"/>
  <c r="Z20"/>
  <c r="AD20"/>
  <c r="AH20"/>
  <c r="AJ20"/>
  <c r="AO20"/>
  <c r="AP20"/>
  <c r="BI20" s="1"/>
  <c r="BD20"/>
  <c r="BF20"/>
  <c r="BH20"/>
  <c r="BJ20"/>
  <c r="H23"/>
  <c r="J23"/>
  <c r="AB23"/>
  <c r="AF23"/>
  <c r="AJ23"/>
  <c r="AK23"/>
  <c r="AL23"/>
  <c r="AO23"/>
  <c r="AP23"/>
  <c r="BI23" s="1"/>
  <c r="AW23"/>
  <c r="BD23"/>
  <c r="BF23"/>
  <c r="BH23"/>
  <c r="AD23" s="1"/>
  <c r="BJ23"/>
  <c r="J25"/>
  <c r="AL25" s="1"/>
  <c r="AU22" s="1"/>
  <c r="Z25"/>
  <c r="AH25"/>
  <c r="AJ25"/>
  <c r="AO25"/>
  <c r="BH25" s="1"/>
  <c r="AP25"/>
  <c r="BD25"/>
  <c r="BF25"/>
  <c r="BI25"/>
  <c r="AE25" s="1"/>
  <c r="BJ25"/>
  <c r="I28"/>
  <c r="J28"/>
  <c r="J22" s="1"/>
  <c r="Z28"/>
  <c r="AC28"/>
  <c r="AG28"/>
  <c r="AH28"/>
  <c r="AL28"/>
  <c r="AO28"/>
  <c r="BH28" s="1"/>
  <c r="AP28"/>
  <c r="AX28"/>
  <c r="BD28"/>
  <c r="BF28"/>
  <c r="BI28"/>
  <c r="AE28" s="1"/>
  <c r="BJ28"/>
  <c r="J31"/>
  <c r="AL31" s="1"/>
  <c r="Z31"/>
  <c r="AH31"/>
  <c r="AJ31"/>
  <c r="AO31"/>
  <c r="AP31"/>
  <c r="BD31"/>
  <c r="BF31"/>
  <c r="BH31"/>
  <c r="AD31" s="1"/>
  <c r="BJ31"/>
  <c r="I33"/>
  <c r="J33"/>
  <c r="Z33"/>
  <c r="AC33"/>
  <c r="AG33"/>
  <c r="AH33"/>
  <c r="AO33"/>
  <c r="AP33"/>
  <c r="AX33"/>
  <c r="BD33"/>
  <c r="BF33"/>
  <c r="BH33"/>
  <c r="AD33" s="1"/>
  <c r="BI33"/>
  <c r="AE33" s="1"/>
  <c r="BJ33"/>
  <c r="H35"/>
  <c r="I35"/>
  <c r="J35"/>
  <c r="AJ35" s="1"/>
  <c r="AB35"/>
  <c r="AC35"/>
  <c r="AF35"/>
  <c r="AG35"/>
  <c r="AK35"/>
  <c r="AL35"/>
  <c r="AO35"/>
  <c r="AP35"/>
  <c r="AW35"/>
  <c r="AX35"/>
  <c r="BD35"/>
  <c r="BF35"/>
  <c r="BH35"/>
  <c r="AD35" s="1"/>
  <c r="BI35"/>
  <c r="AE35" s="1"/>
  <c r="BJ35"/>
  <c r="Z35" s="1"/>
  <c r="I38"/>
  <c r="I37" s="1"/>
  <c r="J38"/>
  <c r="AL38" s="1"/>
  <c r="AU37" s="1"/>
  <c r="Z38"/>
  <c r="AC38"/>
  <c r="AD38"/>
  <c r="AG38"/>
  <c r="AH38"/>
  <c r="AO38"/>
  <c r="AP38"/>
  <c r="AX38"/>
  <c r="BD38"/>
  <c r="BF38"/>
  <c r="BH38"/>
  <c r="BI38"/>
  <c r="AE38" s="1"/>
  <c r="BJ38"/>
  <c r="J41"/>
  <c r="AL41" s="1"/>
  <c r="AU40" s="1"/>
  <c r="Z41"/>
  <c r="AD41"/>
  <c r="AH41"/>
  <c r="AJ41"/>
  <c r="AO41"/>
  <c r="AP41"/>
  <c r="BI41" s="1"/>
  <c r="BD41"/>
  <c r="BF41"/>
  <c r="BH41"/>
  <c r="BJ41"/>
  <c r="I43"/>
  <c r="J43"/>
  <c r="Z43"/>
  <c r="AC43"/>
  <c r="AD43"/>
  <c r="AG43"/>
  <c r="AH43"/>
  <c r="AL43"/>
  <c r="AO43"/>
  <c r="AP43"/>
  <c r="AX43"/>
  <c r="BD43"/>
  <c r="BF43"/>
  <c r="BH43"/>
  <c r="BI43"/>
  <c r="AE43" s="1"/>
  <c r="BJ43"/>
  <c r="H45"/>
  <c r="I45"/>
  <c r="J45"/>
  <c r="AJ45" s="1"/>
  <c r="AB45"/>
  <c r="AC45"/>
  <c r="AF45"/>
  <c r="AG45"/>
  <c r="AK45"/>
  <c r="AL45"/>
  <c r="AO45"/>
  <c r="AP45"/>
  <c r="AW45"/>
  <c r="AX45"/>
  <c r="BD45"/>
  <c r="BF45"/>
  <c r="BH45"/>
  <c r="AD45" s="1"/>
  <c r="BI45"/>
  <c r="AE45" s="1"/>
  <c r="BJ45"/>
  <c r="Z45" s="1"/>
  <c r="H47"/>
  <c r="J47"/>
  <c r="AB47"/>
  <c r="AF47"/>
  <c r="AJ47"/>
  <c r="AK47"/>
  <c r="AL47"/>
  <c r="AO47"/>
  <c r="AP47"/>
  <c r="AX47" s="1"/>
  <c r="BC47" s="1"/>
  <c r="AW47"/>
  <c r="BD47"/>
  <c r="BF47"/>
  <c r="BH47"/>
  <c r="AD47" s="1"/>
  <c r="BI47"/>
  <c r="AG47" s="1"/>
  <c r="BJ47"/>
  <c r="AH47" s="1"/>
  <c r="J49"/>
  <c r="AS49"/>
  <c r="H50"/>
  <c r="H49" s="1"/>
  <c r="I50"/>
  <c r="I49" s="1"/>
  <c r="J50"/>
  <c r="AJ50" s="1"/>
  <c r="AB50"/>
  <c r="AC50"/>
  <c r="AF50"/>
  <c r="AG50"/>
  <c r="AK50"/>
  <c r="AT49" s="1"/>
  <c r="AL50"/>
  <c r="AU49" s="1"/>
  <c r="AO50"/>
  <c r="AP50"/>
  <c r="AW50"/>
  <c r="AX50"/>
  <c r="BD50"/>
  <c r="BF50"/>
  <c r="BH50"/>
  <c r="AD50" s="1"/>
  <c r="BI50"/>
  <c r="AE50" s="1"/>
  <c r="BJ50"/>
  <c r="Z50" s="1"/>
  <c r="I53"/>
  <c r="J53"/>
  <c r="Z53"/>
  <c r="AC53"/>
  <c r="AG53"/>
  <c r="AH53"/>
  <c r="AO53"/>
  <c r="BH53" s="1"/>
  <c r="AP53"/>
  <c r="AX53"/>
  <c r="BD53"/>
  <c r="BF53"/>
  <c r="BI53"/>
  <c r="AE53" s="1"/>
  <c r="BJ53"/>
  <c r="H58"/>
  <c r="I58"/>
  <c r="J58"/>
  <c r="AJ58" s="1"/>
  <c r="AB58"/>
  <c r="AC58"/>
  <c r="AF58"/>
  <c r="AG58"/>
  <c r="AK58"/>
  <c r="AL58"/>
  <c r="AO58"/>
  <c r="AP58"/>
  <c r="AW58"/>
  <c r="AX58"/>
  <c r="BD58"/>
  <c r="BF58"/>
  <c r="BH58"/>
  <c r="AD58" s="1"/>
  <c r="BI58"/>
  <c r="AE58" s="1"/>
  <c r="BJ58"/>
  <c r="Z58" s="1"/>
  <c r="H64"/>
  <c r="J64"/>
  <c r="Z64"/>
  <c r="AB64"/>
  <c r="AF64"/>
  <c r="AJ64"/>
  <c r="AK64"/>
  <c r="AL64"/>
  <c r="AO64"/>
  <c r="AP64"/>
  <c r="AX64" s="1"/>
  <c r="AV64"/>
  <c r="AW64"/>
  <c r="BC64"/>
  <c r="BD64"/>
  <c r="BF64"/>
  <c r="BH64"/>
  <c r="AD64" s="1"/>
  <c r="BI64"/>
  <c r="AG64" s="1"/>
  <c r="BJ64"/>
  <c r="AH64" s="1"/>
  <c r="J70"/>
  <c r="Z70"/>
  <c r="AH70"/>
  <c r="AJ70"/>
  <c r="AO70"/>
  <c r="AW70" s="1"/>
  <c r="AP70"/>
  <c r="I70" s="1"/>
  <c r="BD70"/>
  <c r="BF70"/>
  <c r="BH70"/>
  <c r="AF70" s="1"/>
  <c r="BI70"/>
  <c r="AE70" s="1"/>
  <c r="BJ70"/>
  <c r="I72"/>
  <c r="J72"/>
  <c r="Z72"/>
  <c r="AC72"/>
  <c r="AG72"/>
  <c r="AH72"/>
  <c r="AO72"/>
  <c r="H72" s="1"/>
  <c r="AP72"/>
  <c r="AX72"/>
  <c r="BD72"/>
  <c r="BF72"/>
  <c r="BI72"/>
  <c r="AE72" s="1"/>
  <c r="BJ72"/>
  <c r="H74"/>
  <c r="I74"/>
  <c r="J74"/>
  <c r="AJ74" s="1"/>
  <c r="AB74"/>
  <c r="AC74"/>
  <c r="AF74"/>
  <c r="AG74"/>
  <c r="AK74"/>
  <c r="AL74"/>
  <c r="AO74"/>
  <c r="AP74"/>
  <c r="AW74"/>
  <c r="BC74" s="1"/>
  <c r="AX74"/>
  <c r="BD74"/>
  <c r="BF74"/>
  <c r="BH74"/>
  <c r="AD74" s="1"/>
  <c r="BI74"/>
  <c r="AE74" s="1"/>
  <c r="BJ74"/>
  <c r="H76"/>
  <c r="J76"/>
  <c r="AB76"/>
  <c r="AE76"/>
  <c r="AF76"/>
  <c r="AJ76"/>
  <c r="AK76"/>
  <c r="AL76"/>
  <c r="AO76"/>
  <c r="AP76"/>
  <c r="AW76"/>
  <c r="BD76"/>
  <c r="BF76"/>
  <c r="BH76"/>
  <c r="AD76" s="1"/>
  <c r="BI76"/>
  <c r="BJ76"/>
  <c r="J78"/>
  <c r="AL78" s="1"/>
  <c r="Z78"/>
  <c r="AD78"/>
  <c r="AE78"/>
  <c r="AH78"/>
  <c r="AJ78"/>
  <c r="AO78"/>
  <c r="AP78"/>
  <c r="BD78"/>
  <c r="BF78"/>
  <c r="BH78"/>
  <c r="BI78"/>
  <c r="BJ78"/>
  <c r="I80"/>
  <c r="J80"/>
  <c r="AL80" s="1"/>
  <c r="Z80"/>
  <c r="AC80"/>
  <c r="AD80"/>
  <c r="AG80"/>
  <c r="AH80"/>
  <c r="AO80"/>
  <c r="AP80"/>
  <c r="AX80"/>
  <c r="BD80"/>
  <c r="BF80"/>
  <c r="BH80"/>
  <c r="BI80"/>
  <c r="AE80" s="1"/>
  <c r="BJ80"/>
  <c r="H82"/>
  <c r="I82"/>
  <c r="J82"/>
  <c r="AJ82" s="1"/>
  <c r="AB82"/>
  <c r="AC82"/>
  <c r="AF82"/>
  <c r="AG82"/>
  <c r="AK82"/>
  <c r="AL82"/>
  <c r="AO82"/>
  <c r="AP82"/>
  <c r="AW82"/>
  <c r="AX82"/>
  <c r="BD82"/>
  <c r="BF82"/>
  <c r="BH82"/>
  <c r="AD82" s="1"/>
  <c r="BI82"/>
  <c r="AE82" s="1"/>
  <c r="BJ82"/>
  <c r="Z82" s="1"/>
  <c r="H84"/>
  <c r="J84"/>
  <c r="Z84"/>
  <c r="AB84"/>
  <c r="AF84"/>
  <c r="AJ84"/>
  <c r="AK84"/>
  <c r="AL84"/>
  <c r="AO84"/>
  <c r="AP84"/>
  <c r="AX84" s="1"/>
  <c r="AV84"/>
  <c r="AW84"/>
  <c r="BC84"/>
  <c r="BD84"/>
  <c r="BF84"/>
  <c r="BH84"/>
  <c r="AD84" s="1"/>
  <c r="BI84"/>
  <c r="BJ84"/>
  <c r="AH84" s="1"/>
  <c r="J90"/>
  <c r="Z90"/>
  <c r="AD90"/>
  <c r="AH90"/>
  <c r="AO90"/>
  <c r="AP90"/>
  <c r="I90" s="1"/>
  <c r="AX90"/>
  <c r="BD90"/>
  <c r="BF90"/>
  <c r="BH90"/>
  <c r="BJ90"/>
  <c r="I92"/>
  <c r="J92"/>
  <c r="Z92"/>
  <c r="AC92"/>
  <c r="AG92"/>
  <c r="AH92"/>
  <c r="AO92"/>
  <c r="H92" s="1"/>
  <c r="AP92"/>
  <c r="AW92"/>
  <c r="AX92"/>
  <c r="BD92"/>
  <c r="BF92"/>
  <c r="BI92"/>
  <c r="AE92" s="1"/>
  <c r="BJ92"/>
  <c r="H96"/>
  <c r="I96"/>
  <c r="J96"/>
  <c r="AJ96" s="1"/>
  <c r="AB96"/>
  <c r="AC96"/>
  <c r="AF96"/>
  <c r="AG96"/>
  <c r="AK96"/>
  <c r="AL96"/>
  <c r="AO96"/>
  <c r="AP96"/>
  <c r="AW96"/>
  <c r="BC96" s="1"/>
  <c r="AX96"/>
  <c r="BD96"/>
  <c r="BF96"/>
  <c r="BH96"/>
  <c r="AD96" s="1"/>
  <c r="BI96"/>
  <c r="AE96" s="1"/>
  <c r="BJ96"/>
  <c r="H98"/>
  <c r="J98"/>
  <c r="AB98"/>
  <c r="AF98"/>
  <c r="AJ98"/>
  <c r="AK98"/>
  <c r="AL98"/>
  <c r="AO98"/>
  <c r="AP98"/>
  <c r="AW98"/>
  <c r="BD98"/>
  <c r="BF98"/>
  <c r="BH98"/>
  <c r="AD98" s="1"/>
  <c r="BI98"/>
  <c r="BJ98"/>
  <c r="AH98" s="1"/>
  <c r="J105"/>
  <c r="AJ105" s="1"/>
  <c r="Z105"/>
  <c r="AD105"/>
  <c r="AH105"/>
  <c r="AO105"/>
  <c r="AP105"/>
  <c r="I105" s="1"/>
  <c r="AX105"/>
  <c r="BD105"/>
  <c r="BF105"/>
  <c r="BH105"/>
  <c r="BJ105"/>
  <c r="I107"/>
  <c r="J107"/>
  <c r="Z107"/>
  <c r="AC107"/>
  <c r="AG107"/>
  <c r="AH107"/>
  <c r="AL107"/>
  <c r="AO107"/>
  <c r="H107" s="1"/>
  <c r="AP107"/>
  <c r="AW107"/>
  <c r="AX107"/>
  <c r="BD107"/>
  <c r="BF107"/>
  <c r="BI107"/>
  <c r="AE107" s="1"/>
  <c r="BJ107"/>
  <c r="J113"/>
  <c r="Z113"/>
  <c r="AH113"/>
  <c r="AO113"/>
  <c r="AP113"/>
  <c r="I113" s="1"/>
  <c r="I112" s="1"/>
  <c r="BD113"/>
  <c r="BF113"/>
  <c r="BJ113"/>
  <c r="I115"/>
  <c r="J115"/>
  <c r="Z115"/>
  <c r="AC115"/>
  <c r="AG115"/>
  <c r="AH115"/>
  <c r="AL115"/>
  <c r="AO115"/>
  <c r="H115" s="1"/>
  <c r="AP115"/>
  <c r="AX115"/>
  <c r="BD115"/>
  <c r="BF115"/>
  <c r="BI115"/>
  <c r="AE115" s="1"/>
  <c r="BJ115"/>
  <c r="J118"/>
  <c r="AJ118" s="1"/>
  <c r="AS117" s="1"/>
  <c r="Z118"/>
  <c r="AD118"/>
  <c r="AH118"/>
  <c r="AO118"/>
  <c r="AP118"/>
  <c r="I118" s="1"/>
  <c r="I117" s="1"/>
  <c r="AX118"/>
  <c r="BD118"/>
  <c r="BF118"/>
  <c r="BH118"/>
  <c r="BJ118"/>
  <c r="H123"/>
  <c r="J123"/>
  <c r="AB123"/>
  <c r="AF123"/>
  <c r="AJ123"/>
  <c r="AK123"/>
  <c r="AL123"/>
  <c r="AO123"/>
  <c r="AW123" s="1"/>
  <c r="AP123"/>
  <c r="BD123"/>
  <c r="BF123"/>
  <c r="BH123"/>
  <c r="AD123" s="1"/>
  <c r="BI123"/>
  <c r="AE123" s="1"/>
  <c r="BJ123"/>
  <c r="AH123" s="1"/>
  <c r="J125"/>
  <c r="Z125"/>
  <c r="AH125"/>
  <c r="AO125"/>
  <c r="AP125"/>
  <c r="I125" s="1"/>
  <c r="BD125"/>
  <c r="BF125"/>
  <c r="BJ125"/>
  <c r="J127"/>
  <c r="H128"/>
  <c r="J128"/>
  <c r="Z128"/>
  <c r="AB128"/>
  <c r="AE128"/>
  <c r="AF128"/>
  <c r="AJ128"/>
  <c r="AK128"/>
  <c r="AL128"/>
  <c r="AO128"/>
  <c r="AW128" s="1"/>
  <c r="AP128"/>
  <c r="BD128"/>
  <c r="BF128"/>
  <c r="BH128"/>
  <c r="AD128" s="1"/>
  <c r="BI128"/>
  <c r="BJ128"/>
  <c r="AH128" s="1"/>
  <c r="J130"/>
  <c r="AJ130" s="1"/>
  <c r="Z130"/>
  <c r="AD130"/>
  <c r="AH130"/>
  <c r="AO130"/>
  <c r="AP130"/>
  <c r="I130" s="1"/>
  <c r="AX130"/>
  <c r="BD130"/>
  <c r="BF130"/>
  <c r="BH130"/>
  <c r="BJ130"/>
  <c r="I132"/>
  <c r="J132"/>
  <c r="Z132"/>
  <c r="AC132"/>
  <c r="AG132"/>
  <c r="AH132"/>
  <c r="AL132"/>
  <c r="AO132"/>
  <c r="H132" s="1"/>
  <c r="AP132"/>
  <c r="AW132"/>
  <c r="AX132"/>
  <c r="BD132"/>
  <c r="BF132"/>
  <c r="BI132"/>
  <c r="AE132" s="1"/>
  <c r="BJ132"/>
  <c r="H134"/>
  <c r="I134"/>
  <c r="J134"/>
  <c r="AJ134" s="1"/>
  <c r="AB134"/>
  <c r="AC134"/>
  <c r="AF134"/>
  <c r="AG134"/>
  <c r="AK134"/>
  <c r="AL134"/>
  <c r="AO134"/>
  <c r="AP134"/>
  <c r="AV134"/>
  <c r="AW134"/>
  <c r="BC134" s="1"/>
  <c r="AX134"/>
  <c r="BD134"/>
  <c r="BF134"/>
  <c r="BH134"/>
  <c r="AD134" s="1"/>
  <c r="BI134"/>
  <c r="AE134" s="1"/>
  <c r="BJ134"/>
  <c r="H136"/>
  <c r="J136"/>
  <c r="AL136" s="1"/>
  <c r="AB136"/>
  <c r="AF136"/>
  <c r="AJ136"/>
  <c r="AK136"/>
  <c r="AO136"/>
  <c r="AP136"/>
  <c r="AW136"/>
  <c r="BD136"/>
  <c r="BF136"/>
  <c r="BH136"/>
  <c r="AD136" s="1"/>
  <c r="BI136"/>
  <c r="BJ136"/>
  <c r="AH136" s="1"/>
  <c r="J138"/>
  <c r="Z138"/>
  <c r="AH138"/>
  <c r="AJ138"/>
  <c r="AO138"/>
  <c r="AP138"/>
  <c r="I138" s="1"/>
  <c r="BD138"/>
  <c r="BF138"/>
  <c r="BI138"/>
  <c r="BJ138"/>
  <c r="I141"/>
  <c r="J141"/>
  <c r="AC141"/>
  <c r="AG141"/>
  <c r="AH141"/>
  <c r="AL141"/>
  <c r="AO141"/>
  <c r="H141" s="1"/>
  <c r="AP141"/>
  <c r="AX141"/>
  <c r="BD141"/>
  <c r="BF141"/>
  <c r="BI141"/>
  <c r="AE141" s="1"/>
  <c r="BJ141"/>
  <c r="Z141" s="1"/>
  <c r="J144"/>
  <c r="AJ144" s="1"/>
  <c r="Z144"/>
  <c r="AD144"/>
  <c r="AH144"/>
  <c r="AO144"/>
  <c r="AP144"/>
  <c r="I144" s="1"/>
  <c r="AX144"/>
  <c r="BD144"/>
  <c r="BF144"/>
  <c r="BH144"/>
  <c r="BJ144"/>
  <c r="I146"/>
  <c r="J146"/>
  <c r="AL146" s="1"/>
  <c r="AC146"/>
  <c r="AD146"/>
  <c r="AG146"/>
  <c r="AH146"/>
  <c r="AO146"/>
  <c r="H146" s="1"/>
  <c r="AP146"/>
  <c r="AX146"/>
  <c r="BD146"/>
  <c r="BF146"/>
  <c r="BH146"/>
  <c r="BI146"/>
  <c r="AE146" s="1"/>
  <c r="BJ146"/>
  <c r="Z146" s="1"/>
  <c r="H148"/>
  <c r="I148"/>
  <c r="J148"/>
  <c r="AJ148" s="1"/>
  <c r="AB148"/>
  <c r="AC148"/>
  <c r="AF148"/>
  <c r="AG148"/>
  <c r="AK148"/>
  <c r="AL148"/>
  <c r="AO148"/>
  <c r="AP148"/>
  <c r="AX148" s="1"/>
  <c r="AV148"/>
  <c r="AW148"/>
  <c r="BC148" s="1"/>
  <c r="BD148"/>
  <c r="BF148"/>
  <c r="BH148"/>
  <c r="AD148" s="1"/>
  <c r="BI148"/>
  <c r="AE148" s="1"/>
  <c r="BJ148"/>
  <c r="H150"/>
  <c r="J150"/>
  <c r="AB150"/>
  <c r="AF150"/>
  <c r="AJ150"/>
  <c r="AK150"/>
  <c r="AL150"/>
  <c r="AO150"/>
  <c r="AW150" s="1"/>
  <c r="AP150"/>
  <c r="BD150"/>
  <c r="BF150"/>
  <c r="BH150"/>
  <c r="AD150" s="1"/>
  <c r="BJ150"/>
  <c r="AH150" s="1"/>
  <c r="J152"/>
  <c r="AS152"/>
  <c r="H153"/>
  <c r="H152" s="1"/>
  <c r="I153"/>
  <c r="I152" s="1"/>
  <c r="J153"/>
  <c r="AJ153" s="1"/>
  <c r="AB153"/>
  <c r="AC153"/>
  <c r="AF153"/>
  <c r="AG153"/>
  <c r="AK153"/>
  <c r="AT152" s="1"/>
  <c r="AL153"/>
  <c r="AU152" s="1"/>
  <c r="AO153"/>
  <c r="AP153"/>
  <c r="AX153" s="1"/>
  <c r="AW153"/>
  <c r="BC153" s="1"/>
  <c r="BD153"/>
  <c r="BF153"/>
  <c r="BH153"/>
  <c r="AD153" s="1"/>
  <c r="BI153"/>
  <c r="AE153" s="1"/>
  <c r="BJ153"/>
  <c r="I156"/>
  <c r="I155" s="1"/>
  <c r="J156"/>
  <c r="AC156"/>
  <c r="AG156"/>
  <c r="AH156"/>
  <c r="AO156"/>
  <c r="H156" s="1"/>
  <c r="H155" s="1"/>
  <c r="AP156"/>
  <c r="AW156"/>
  <c r="AX156"/>
  <c r="BD156"/>
  <c r="BF156"/>
  <c r="BI156"/>
  <c r="AE156" s="1"/>
  <c r="BJ156"/>
  <c r="Z156" s="1"/>
  <c r="H158"/>
  <c r="I158"/>
  <c r="J158"/>
  <c r="AJ158" s="1"/>
  <c r="AB158"/>
  <c r="AC158"/>
  <c r="AF158"/>
  <c r="AG158"/>
  <c r="AK158"/>
  <c r="AL158"/>
  <c r="AO158"/>
  <c r="AP158"/>
  <c r="AX158" s="1"/>
  <c r="AW158"/>
  <c r="AV158" s="1"/>
  <c r="BD158"/>
  <c r="BF158"/>
  <c r="BH158"/>
  <c r="AD158" s="1"/>
  <c r="BI158"/>
  <c r="AE158" s="1"/>
  <c r="BJ158"/>
  <c r="I161"/>
  <c r="J161"/>
  <c r="AL161" s="1"/>
  <c r="AC161"/>
  <c r="AD161"/>
  <c r="AG161"/>
  <c r="AH161"/>
  <c r="AO161"/>
  <c r="H161" s="1"/>
  <c r="AP161"/>
  <c r="AX161"/>
  <c r="BD161"/>
  <c r="BF161"/>
  <c r="BH161"/>
  <c r="BI161"/>
  <c r="AE161" s="1"/>
  <c r="BJ161"/>
  <c r="Z161" s="1"/>
  <c r="H163"/>
  <c r="I163"/>
  <c r="J163"/>
  <c r="AJ163" s="1"/>
  <c r="AB163"/>
  <c r="AC163"/>
  <c r="AF163"/>
  <c r="AG163"/>
  <c r="AK163"/>
  <c r="AL163"/>
  <c r="AO163"/>
  <c r="AP163"/>
  <c r="AX163" s="1"/>
  <c r="AV163"/>
  <c r="AW163"/>
  <c r="BC163" s="1"/>
  <c r="BD163"/>
  <c r="BF163"/>
  <c r="BH163"/>
  <c r="AD163" s="1"/>
  <c r="BI163"/>
  <c r="AE163" s="1"/>
  <c r="BJ163"/>
  <c r="H165"/>
  <c r="J165"/>
  <c r="AB165"/>
  <c r="AF165"/>
  <c r="AJ165"/>
  <c r="AK165"/>
  <c r="AL165"/>
  <c r="AO165"/>
  <c r="AW165" s="1"/>
  <c r="AP165"/>
  <c r="BD165"/>
  <c r="BF165"/>
  <c r="BH165"/>
  <c r="AD165" s="1"/>
  <c r="BJ165"/>
  <c r="AH165" s="1"/>
  <c r="J168"/>
  <c r="Z168"/>
  <c r="AH168"/>
  <c r="AO168"/>
  <c r="BH168" s="1"/>
  <c r="AP168"/>
  <c r="I168" s="1"/>
  <c r="BD168"/>
  <c r="BF168"/>
  <c r="BJ168"/>
  <c r="I170"/>
  <c r="J170"/>
  <c r="AK170" s="1"/>
  <c r="Z170"/>
  <c r="AC170"/>
  <c r="AG170"/>
  <c r="AH170"/>
  <c r="AL170"/>
  <c r="AO170"/>
  <c r="H170" s="1"/>
  <c r="AP170"/>
  <c r="AX170"/>
  <c r="BD170"/>
  <c r="BF170"/>
  <c r="BH170"/>
  <c r="BI170"/>
  <c r="AE170" s="1"/>
  <c r="BJ170"/>
  <c r="J173"/>
  <c r="AL173" s="1"/>
  <c r="Z173"/>
  <c r="AH173"/>
  <c r="AO173"/>
  <c r="AP173"/>
  <c r="I173" s="1"/>
  <c r="BD173"/>
  <c r="BF173"/>
  <c r="BJ173"/>
  <c r="I177"/>
  <c r="J177"/>
  <c r="AK177" s="1"/>
  <c r="Z177"/>
  <c r="AC177"/>
  <c r="AG177"/>
  <c r="AH177"/>
  <c r="AJ177"/>
  <c r="AL177"/>
  <c r="AO177"/>
  <c r="H177" s="1"/>
  <c r="AP177"/>
  <c r="AX177"/>
  <c r="BD177"/>
  <c r="BF177"/>
  <c r="BH177"/>
  <c r="BI177"/>
  <c r="AE177" s="1"/>
  <c r="BJ177"/>
  <c r="H180"/>
  <c r="I180"/>
  <c r="J180"/>
  <c r="AJ180" s="1"/>
  <c r="AB180"/>
  <c r="AC180"/>
  <c r="AF180"/>
  <c r="AG180"/>
  <c r="AK180"/>
  <c r="AO180"/>
  <c r="AP180"/>
  <c r="AV180"/>
  <c r="AW180"/>
  <c r="BC180" s="1"/>
  <c r="AX180"/>
  <c r="BD180"/>
  <c r="BF180"/>
  <c r="BH180"/>
  <c r="AD180" s="1"/>
  <c r="BI180"/>
  <c r="AE180" s="1"/>
  <c r="BJ180"/>
  <c r="Z180" s="1"/>
  <c r="H183"/>
  <c r="I183"/>
  <c r="J183"/>
  <c r="AL183" s="1"/>
  <c r="AB183"/>
  <c r="AF183"/>
  <c r="AJ183"/>
  <c r="AK183"/>
  <c r="AO183"/>
  <c r="AP183"/>
  <c r="AX183" s="1"/>
  <c r="AV183"/>
  <c r="AW183"/>
  <c r="BC183"/>
  <c r="BD183"/>
  <c r="BF183"/>
  <c r="BH183"/>
  <c r="AD183" s="1"/>
  <c r="BI183"/>
  <c r="AC183" s="1"/>
  <c r="BJ183"/>
  <c r="AH183" s="1"/>
  <c r="J186"/>
  <c r="AJ186" s="1"/>
  <c r="Z186"/>
  <c r="AE186"/>
  <c r="AH186"/>
  <c r="AO186"/>
  <c r="AW186" s="1"/>
  <c r="AV186" s="1"/>
  <c r="AP186"/>
  <c r="I186" s="1"/>
  <c r="AX186"/>
  <c r="BC186"/>
  <c r="BD186"/>
  <c r="BF186"/>
  <c r="BI186"/>
  <c r="BJ186"/>
  <c r="J189"/>
  <c r="AL189" s="1"/>
  <c r="AD189"/>
  <c r="AH189"/>
  <c r="AO189"/>
  <c r="H189" s="1"/>
  <c r="AP189"/>
  <c r="I189" s="1"/>
  <c r="AW189"/>
  <c r="AX189"/>
  <c r="BD189"/>
  <c r="BF189"/>
  <c r="BH189"/>
  <c r="BJ189"/>
  <c r="Z189" s="1"/>
  <c r="I192"/>
  <c r="J192"/>
  <c r="AJ192" s="1"/>
  <c r="AC192"/>
  <c r="AG192"/>
  <c r="AK192"/>
  <c r="AL192"/>
  <c r="AO192"/>
  <c r="H192" s="1"/>
  <c r="AP192"/>
  <c r="AX192" s="1"/>
  <c r="BD192"/>
  <c r="BF192"/>
  <c r="BI192"/>
  <c r="AE192" s="1"/>
  <c r="BJ192"/>
  <c r="H196"/>
  <c r="J196"/>
  <c r="Z196"/>
  <c r="AE196"/>
  <c r="AJ196"/>
  <c r="AK196"/>
  <c r="AL196"/>
  <c r="AO196"/>
  <c r="AW196" s="1"/>
  <c r="AP196"/>
  <c r="BD196"/>
  <c r="BF196"/>
  <c r="BI196"/>
  <c r="AG196" s="1"/>
  <c r="BJ196"/>
  <c r="AH196" s="1"/>
  <c r="J199"/>
  <c r="AJ199" s="1"/>
  <c r="Z199"/>
  <c r="AH199"/>
  <c r="AK199"/>
  <c r="AL199"/>
  <c r="AO199"/>
  <c r="AP199"/>
  <c r="I199" s="1"/>
  <c r="BD199"/>
  <c r="BF199"/>
  <c r="BJ199"/>
  <c r="I203"/>
  <c r="J203"/>
  <c r="AL203" s="1"/>
  <c r="Z203"/>
  <c r="AC203"/>
  <c r="AG203"/>
  <c r="AH203"/>
  <c r="AJ203"/>
  <c r="AK203"/>
  <c r="AO203"/>
  <c r="H203" s="1"/>
  <c r="AP203"/>
  <c r="AX203"/>
  <c r="BD203"/>
  <c r="BF203"/>
  <c r="BI203"/>
  <c r="AE203" s="1"/>
  <c r="BJ203"/>
  <c r="H205"/>
  <c r="I205"/>
  <c r="J205"/>
  <c r="AJ205" s="1"/>
  <c r="Z205"/>
  <c r="AB205"/>
  <c r="AC205"/>
  <c r="AF205"/>
  <c r="AG205"/>
  <c r="AK205"/>
  <c r="AO205"/>
  <c r="AP205"/>
  <c r="AV205"/>
  <c r="AW205"/>
  <c r="AX205"/>
  <c r="BC205"/>
  <c r="BD205"/>
  <c r="BF205"/>
  <c r="BH205"/>
  <c r="AD205" s="1"/>
  <c r="BI205"/>
  <c r="AE205" s="1"/>
  <c r="BJ205"/>
  <c r="AH205" s="1"/>
  <c r="H207"/>
  <c r="J207"/>
  <c r="AL207" s="1"/>
  <c r="Z207"/>
  <c r="AB207"/>
  <c r="AF207"/>
  <c r="AK207"/>
  <c r="AO207"/>
  <c r="AP207"/>
  <c r="I207" s="1"/>
  <c r="AW207"/>
  <c r="BD207"/>
  <c r="BF207"/>
  <c r="BH207"/>
  <c r="AD207" s="1"/>
  <c r="BI207"/>
  <c r="AC207" s="1"/>
  <c r="BJ207"/>
  <c r="AH207" s="1"/>
  <c r="I209"/>
  <c r="J209"/>
  <c r="AD209"/>
  <c r="AE209"/>
  <c r="AF209"/>
  <c r="AG209"/>
  <c r="AJ209"/>
  <c r="AO209"/>
  <c r="H209" s="1"/>
  <c r="AP209"/>
  <c r="AW209"/>
  <c r="AV209" s="1"/>
  <c r="AX209"/>
  <c r="BD209"/>
  <c r="BF209"/>
  <c r="BH209"/>
  <c r="AB209" s="1"/>
  <c r="BI209"/>
  <c r="AC209" s="1"/>
  <c r="BJ209"/>
  <c r="Z209" s="1"/>
  <c r="H213"/>
  <c r="I213"/>
  <c r="J213"/>
  <c r="AH213"/>
  <c r="AL213"/>
  <c r="AO213"/>
  <c r="AW213" s="1"/>
  <c r="AP213"/>
  <c r="AX213"/>
  <c r="BD213"/>
  <c r="BF213"/>
  <c r="BH213"/>
  <c r="AB213" s="1"/>
  <c r="BI213"/>
  <c r="AG213" s="1"/>
  <c r="BJ213"/>
  <c r="Z213" s="1"/>
  <c r="H215"/>
  <c r="J215"/>
  <c r="AJ215" s="1"/>
  <c r="AK215"/>
  <c r="AL215"/>
  <c r="AO215"/>
  <c r="BH215" s="1"/>
  <c r="AP215"/>
  <c r="AX215" s="1"/>
  <c r="AV215" s="1"/>
  <c r="AW215"/>
  <c r="BD215"/>
  <c r="BF215"/>
  <c r="BJ215"/>
  <c r="H217"/>
  <c r="J217"/>
  <c r="Z217"/>
  <c r="AJ217"/>
  <c r="AK217"/>
  <c r="AL217"/>
  <c r="AO217"/>
  <c r="AW217" s="1"/>
  <c r="AP217"/>
  <c r="BD217"/>
  <c r="BF217"/>
  <c r="BH217"/>
  <c r="AF217" s="1"/>
  <c r="BI217"/>
  <c r="AG217" s="1"/>
  <c r="BJ217"/>
  <c r="AH217" s="1"/>
  <c r="J219"/>
  <c r="AL219" s="1"/>
  <c r="Z219"/>
  <c r="AD219"/>
  <c r="AH219"/>
  <c r="AK219"/>
  <c r="AO219"/>
  <c r="AP219"/>
  <c r="I219" s="1"/>
  <c r="AX219"/>
  <c r="BD219"/>
  <c r="BF219"/>
  <c r="BH219"/>
  <c r="AF219" s="1"/>
  <c r="BJ219"/>
  <c r="I221"/>
  <c r="J221"/>
  <c r="AJ221" s="1"/>
  <c r="Z221"/>
  <c r="AC221"/>
  <c r="AG221"/>
  <c r="AH221"/>
  <c r="AO221"/>
  <c r="H221" s="1"/>
  <c r="AP221"/>
  <c r="AX221"/>
  <c r="BD221"/>
  <c r="BF221"/>
  <c r="BH221"/>
  <c r="AF221" s="1"/>
  <c r="BI221"/>
  <c r="AE221" s="1"/>
  <c r="BJ221"/>
  <c r="I223"/>
  <c r="J223"/>
  <c r="AJ223" s="1"/>
  <c r="AC223"/>
  <c r="AG223"/>
  <c r="AK223"/>
  <c r="AL223"/>
  <c r="AO223"/>
  <c r="H223" s="1"/>
  <c r="AP223"/>
  <c r="AX223"/>
  <c r="BD223"/>
  <c r="BF223"/>
  <c r="BH223"/>
  <c r="AD223" s="1"/>
  <c r="BI223"/>
  <c r="AE223" s="1"/>
  <c r="BJ223"/>
  <c r="Z223" s="1"/>
  <c r="I226"/>
  <c r="J226"/>
  <c r="AJ226" s="1"/>
  <c r="Z226"/>
  <c r="AH226"/>
  <c r="AO226"/>
  <c r="H226" s="1"/>
  <c r="AP226"/>
  <c r="BI226" s="1"/>
  <c r="AW226"/>
  <c r="AX226"/>
  <c r="BC226" s="1"/>
  <c r="BD226"/>
  <c r="BF226"/>
  <c r="BH226"/>
  <c r="AF226" s="1"/>
  <c r="BJ226"/>
  <c r="I229"/>
  <c r="J229"/>
  <c r="AL229" s="1"/>
  <c r="Z229"/>
  <c r="AC229"/>
  <c r="AG229"/>
  <c r="AH229"/>
  <c r="AJ229"/>
  <c r="AO229"/>
  <c r="H229" s="1"/>
  <c r="AP229"/>
  <c r="AX229"/>
  <c r="BD229"/>
  <c r="BF229"/>
  <c r="BH229"/>
  <c r="AF229" s="1"/>
  <c r="BI229"/>
  <c r="AE229" s="1"/>
  <c r="BJ229"/>
  <c r="H231"/>
  <c r="I231"/>
  <c r="J231"/>
  <c r="AK231" s="1"/>
  <c r="Z231"/>
  <c r="AB231"/>
  <c r="AC231"/>
  <c r="AF231"/>
  <c r="AG231"/>
  <c r="AH231"/>
  <c r="AJ231"/>
  <c r="AO231"/>
  <c r="AP231"/>
  <c r="AW231"/>
  <c r="AV231" s="1"/>
  <c r="AX231"/>
  <c r="BC231" s="1"/>
  <c r="BD231"/>
  <c r="BF231"/>
  <c r="BH231"/>
  <c r="AD231" s="1"/>
  <c r="BI231"/>
  <c r="AE231" s="1"/>
  <c r="BJ231"/>
  <c r="H233"/>
  <c r="I233"/>
  <c r="J233"/>
  <c r="AL233" s="1"/>
  <c r="Z233"/>
  <c r="AD233"/>
  <c r="AF233"/>
  <c r="AH233"/>
  <c r="AJ233"/>
  <c r="AO233"/>
  <c r="AP233"/>
  <c r="AX233" s="1"/>
  <c r="BC233" s="1"/>
  <c r="AW233"/>
  <c r="BD233"/>
  <c r="BF233"/>
  <c r="BH233"/>
  <c r="AB233" s="1"/>
  <c r="BI233"/>
  <c r="AC233" s="1"/>
  <c r="BJ233"/>
  <c r="I235"/>
  <c r="J235"/>
  <c r="AK235" s="1"/>
  <c r="Z235"/>
  <c r="AC235"/>
  <c r="AE235"/>
  <c r="AG235"/>
  <c r="AJ235"/>
  <c r="AO235"/>
  <c r="H235" s="1"/>
  <c r="AP235"/>
  <c r="AX235"/>
  <c r="BD235"/>
  <c r="BF235"/>
  <c r="BH235"/>
  <c r="AB235" s="1"/>
  <c r="BI235"/>
  <c r="BJ235"/>
  <c r="AH235" s="1"/>
  <c r="J237"/>
  <c r="AJ237" s="1"/>
  <c r="AK237"/>
  <c r="AL237"/>
  <c r="AO237"/>
  <c r="H237" s="1"/>
  <c r="AP237"/>
  <c r="I237" s="1"/>
  <c r="BD237"/>
  <c r="BF237"/>
  <c r="BH237"/>
  <c r="AD237" s="1"/>
  <c r="BI237"/>
  <c r="AG237" s="1"/>
  <c r="BJ237"/>
  <c r="Z237" s="1"/>
  <c r="J239"/>
  <c r="AJ239"/>
  <c r="AK239"/>
  <c r="AL239"/>
  <c r="AO239"/>
  <c r="BH239" s="1"/>
  <c r="AP239"/>
  <c r="AX239" s="1"/>
  <c r="BD239"/>
  <c r="BF239"/>
  <c r="BI239"/>
  <c r="AE239" s="1"/>
  <c r="BJ239"/>
  <c r="AH239" s="1"/>
  <c r="H241"/>
  <c r="J241"/>
  <c r="Z241"/>
  <c r="AH241"/>
  <c r="AJ241"/>
  <c r="AK241"/>
  <c r="AL241"/>
  <c r="AO241"/>
  <c r="AW241" s="1"/>
  <c r="AP241"/>
  <c r="I241" s="1"/>
  <c r="AV241"/>
  <c r="AX241"/>
  <c r="BC241" s="1"/>
  <c r="BD241"/>
  <c r="BF241"/>
  <c r="BJ241"/>
  <c r="I243"/>
  <c r="J243"/>
  <c r="AK243" s="1"/>
  <c r="Z243"/>
  <c r="AH243"/>
  <c r="AO243"/>
  <c r="H243" s="1"/>
  <c r="AP243"/>
  <c r="AX243"/>
  <c r="BD243"/>
  <c r="BF243"/>
  <c r="BI243"/>
  <c r="AG243" s="1"/>
  <c r="BJ243"/>
  <c r="H245"/>
  <c r="I245"/>
  <c r="J245"/>
  <c r="AL245" s="1"/>
  <c r="Z245"/>
  <c r="AB245"/>
  <c r="AC245"/>
  <c r="AD245"/>
  <c r="AF245"/>
  <c r="AG245"/>
  <c r="AH245"/>
  <c r="AO245"/>
  <c r="AP245"/>
  <c r="AW245"/>
  <c r="AV245" s="1"/>
  <c r="AX245"/>
  <c r="BC245"/>
  <c r="BD245"/>
  <c r="BF245"/>
  <c r="BH245"/>
  <c r="BI245"/>
  <c r="AE245" s="1"/>
  <c r="BJ245"/>
  <c r="H247"/>
  <c r="J247"/>
  <c r="AL247" s="1"/>
  <c r="Z247"/>
  <c r="AB247"/>
  <c r="AF247"/>
  <c r="AH247"/>
  <c r="AJ247"/>
  <c r="AO247"/>
  <c r="AP247"/>
  <c r="I247" s="1"/>
  <c r="AW247"/>
  <c r="BD247"/>
  <c r="BF247"/>
  <c r="BH247"/>
  <c r="AD247" s="1"/>
  <c r="BI247"/>
  <c r="AG247" s="1"/>
  <c r="BJ247"/>
  <c r="I249"/>
  <c r="J249"/>
  <c r="AL249" s="1"/>
  <c r="Z249"/>
  <c r="AE249"/>
  <c r="AG249"/>
  <c r="AJ249"/>
  <c r="AO249"/>
  <c r="H249" s="1"/>
  <c r="AP249"/>
  <c r="AX249"/>
  <c r="BD249"/>
  <c r="BF249"/>
  <c r="BI249"/>
  <c r="AC249" s="1"/>
  <c r="BJ249"/>
  <c r="AH249" s="1"/>
  <c r="AS251"/>
  <c r="H252"/>
  <c r="H251" s="1"/>
  <c r="J252"/>
  <c r="J251" s="1"/>
  <c r="AB252"/>
  <c r="AF252"/>
  <c r="AJ252"/>
  <c r="AO252"/>
  <c r="AP252"/>
  <c r="I252" s="1"/>
  <c r="AW252"/>
  <c r="BD252"/>
  <c r="BF252"/>
  <c r="BH252"/>
  <c r="AD252" s="1"/>
  <c r="BI252"/>
  <c r="AC252" s="1"/>
  <c r="BJ252"/>
  <c r="Z252" s="1"/>
  <c r="H254"/>
  <c r="J254"/>
  <c r="AL254" s="1"/>
  <c r="AD254"/>
  <c r="AE254"/>
  <c r="AF254"/>
  <c r="AG254"/>
  <c r="AJ254"/>
  <c r="AO254"/>
  <c r="AP254"/>
  <c r="I254" s="1"/>
  <c r="AV254"/>
  <c r="AW254"/>
  <c r="BC254" s="1"/>
  <c r="AX254"/>
  <c r="BD254"/>
  <c r="BF254"/>
  <c r="BH254"/>
  <c r="AB254" s="1"/>
  <c r="BI254"/>
  <c r="AC254" s="1"/>
  <c r="BJ254"/>
  <c r="Z254" s="1"/>
  <c r="H257"/>
  <c r="J257"/>
  <c r="AK257" s="1"/>
  <c r="Z257"/>
  <c r="AB257"/>
  <c r="AF257"/>
  <c r="AH257"/>
  <c r="AJ257"/>
  <c r="AO257"/>
  <c r="AP257"/>
  <c r="I257" s="1"/>
  <c r="I256" s="1"/>
  <c r="AW257"/>
  <c r="BD257"/>
  <c r="BF257"/>
  <c r="BH257"/>
  <c r="AD257" s="1"/>
  <c r="BI257"/>
  <c r="AG257" s="1"/>
  <c r="BJ257"/>
  <c r="I259"/>
  <c r="J259"/>
  <c r="AL259" s="1"/>
  <c r="Z259"/>
  <c r="AE259"/>
  <c r="AG259"/>
  <c r="AO259"/>
  <c r="H259" s="1"/>
  <c r="H256" s="1"/>
  <c r="AP259"/>
  <c r="AX259"/>
  <c r="BD259"/>
  <c r="BF259"/>
  <c r="BH259"/>
  <c r="AF259" s="1"/>
  <c r="BI259"/>
  <c r="AC259" s="1"/>
  <c r="BJ259"/>
  <c r="AH259" s="1"/>
  <c r="AS261"/>
  <c r="H262"/>
  <c r="H261" s="1"/>
  <c r="J262"/>
  <c r="J261" s="1"/>
  <c r="AB262"/>
  <c r="AF262"/>
  <c r="AJ262"/>
  <c r="AO262"/>
  <c r="AP262"/>
  <c r="BI262" s="1"/>
  <c r="AW262"/>
  <c r="BD262"/>
  <c r="BF262"/>
  <c r="BH262"/>
  <c r="AD262" s="1"/>
  <c r="BJ262"/>
  <c r="Z262" s="1"/>
  <c r="H264"/>
  <c r="J264"/>
  <c r="AL264" s="1"/>
  <c r="AD264"/>
  <c r="AE264"/>
  <c r="AF264"/>
  <c r="AG264"/>
  <c r="AJ264"/>
  <c r="AO264"/>
  <c r="AP264"/>
  <c r="I264" s="1"/>
  <c r="AV264"/>
  <c r="AW264"/>
  <c r="BC264" s="1"/>
  <c r="AX264"/>
  <c r="BD264"/>
  <c r="BF264"/>
  <c r="BH264"/>
  <c r="AB264" s="1"/>
  <c r="BI264"/>
  <c r="AC264" s="1"/>
  <c r="BJ264"/>
  <c r="Z264" s="1"/>
  <c r="H266"/>
  <c r="H267"/>
  <c r="J267"/>
  <c r="AK267" s="1"/>
  <c r="AT266" s="1"/>
  <c r="Z267"/>
  <c r="AB267"/>
  <c r="AF267"/>
  <c r="AH267"/>
  <c r="AO267"/>
  <c r="AP267"/>
  <c r="I267" s="1"/>
  <c r="I266" s="1"/>
  <c r="AW267"/>
  <c r="BD267"/>
  <c r="BF267"/>
  <c r="BH267"/>
  <c r="AD267" s="1"/>
  <c r="BI267"/>
  <c r="AG267" s="1"/>
  <c r="BJ267"/>
  <c r="J269"/>
  <c r="AS269"/>
  <c r="AT269"/>
  <c r="I270"/>
  <c r="I269" s="1"/>
  <c r="J270"/>
  <c r="AC270"/>
  <c r="AG270"/>
  <c r="AJ270"/>
  <c r="AK270"/>
  <c r="AL270"/>
  <c r="AU269" s="1"/>
  <c r="AO270"/>
  <c r="BH270" s="1"/>
  <c r="AP270"/>
  <c r="AX270"/>
  <c r="BD270"/>
  <c r="BF270"/>
  <c r="BI270"/>
  <c r="AE270" s="1"/>
  <c r="BJ270"/>
  <c r="Z270" s="1"/>
  <c r="I273"/>
  <c r="I272" s="1"/>
  <c r="J273"/>
  <c r="J272" s="1"/>
  <c r="Z273"/>
  <c r="AB273"/>
  <c r="AH273"/>
  <c r="AO273"/>
  <c r="H273" s="1"/>
  <c r="AP273"/>
  <c r="BI273" s="1"/>
  <c r="AW273"/>
  <c r="AX273"/>
  <c r="BC273" s="1"/>
  <c r="BD273"/>
  <c r="BF273"/>
  <c r="BH273"/>
  <c r="AF273" s="1"/>
  <c r="BJ273"/>
  <c r="I275"/>
  <c r="J275"/>
  <c r="AK275" s="1"/>
  <c r="Z275"/>
  <c r="AC275"/>
  <c r="AG275"/>
  <c r="AH275"/>
  <c r="AJ275"/>
  <c r="AO275"/>
  <c r="H275" s="1"/>
  <c r="AP275"/>
  <c r="AX275"/>
  <c r="BD275"/>
  <c r="BF275"/>
  <c r="BI275"/>
  <c r="AE275" s="1"/>
  <c r="BJ275"/>
  <c r="J277"/>
  <c r="J278"/>
  <c r="Z278"/>
  <c r="AH278"/>
  <c r="AJ278"/>
  <c r="AK278"/>
  <c r="AT277" s="1"/>
  <c r="AL278"/>
  <c r="AO278"/>
  <c r="H278" s="1"/>
  <c r="AP278"/>
  <c r="I278" s="1"/>
  <c r="BD278"/>
  <c r="BF278"/>
  <c r="BH278"/>
  <c r="AF278" s="1"/>
  <c r="BI278"/>
  <c r="AC278" s="1"/>
  <c r="BJ278"/>
  <c r="I285"/>
  <c r="J285"/>
  <c r="AC285"/>
  <c r="AG285"/>
  <c r="AJ285"/>
  <c r="AK285"/>
  <c r="AL285"/>
  <c r="AO285"/>
  <c r="BH285" s="1"/>
  <c r="AP285"/>
  <c r="AX285"/>
  <c r="BD285"/>
  <c r="BF285"/>
  <c r="BI285"/>
  <c r="AE285" s="1"/>
  <c r="BJ285"/>
  <c r="Z285" s="1"/>
  <c r="H287"/>
  <c r="J287"/>
  <c r="AB287"/>
  <c r="AC287"/>
  <c r="AF287"/>
  <c r="AJ287"/>
  <c r="AK287"/>
  <c r="AL287"/>
  <c r="AO287"/>
  <c r="AP287"/>
  <c r="I287" s="1"/>
  <c r="AW287"/>
  <c r="BD287"/>
  <c r="BF287"/>
  <c r="BH287"/>
  <c r="AD287" s="1"/>
  <c r="BI287"/>
  <c r="AG287" s="1"/>
  <c r="BJ287"/>
  <c r="Z287" s="1"/>
  <c r="J289"/>
  <c r="AL289" s="1"/>
  <c r="AD289"/>
  <c r="AF289"/>
  <c r="AJ289"/>
  <c r="AK289"/>
  <c r="AO289"/>
  <c r="H289" s="1"/>
  <c r="AP289"/>
  <c r="I289" s="1"/>
  <c r="AW289"/>
  <c r="BD289"/>
  <c r="BF289"/>
  <c r="BH289"/>
  <c r="AB289" s="1"/>
  <c r="BJ289"/>
  <c r="Z289" s="1"/>
  <c r="H291"/>
  <c r="J291"/>
  <c r="AK291" s="1"/>
  <c r="AD291"/>
  <c r="AE291"/>
  <c r="AF291"/>
  <c r="AG291"/>
  <c r="AJ291"/>
  <c r="AO291"/>
  <c r="AP291"/>
  <c r="I291" s="1"/>
  <c r="AV291"/>
  <c r="AW291"/>
  <c r="BC291" s="1"/>
  <c r="AX291"/>
  <c r="BD291"/>
  <c r="BF291"/>
  <c r="BH291"/>
  <c r="AB291" s="1"/>
  <c r="BI291"/>
  <c r="AC291" s="1"/>
  <c r="BJ291"/>
  <c r="Z291" s="1"/>
  <c r="H293"/>
  <c r="I293"/>
  <c r="J293"/>
  <c r="AJ293" s="1"/>
  <c r="AF293"/>
  <c r="AH293"/>
  <c r="AK293"/>
  <c r="AL293"/>
  <c r="AO293"/>
  <c r="AP293"/>
  <c r="BI293" s="1"/>
  <c r="AW293"/>
  <c r="BC293" s="1"/>
  <c r="AX293"/>
  <c r="BD293"/>
  <c r="BF293"/>
  <c r="BH293"/>
  <c r="AD293" s="1"/>
  <c r="BJ293"/>
  <c r="Z293" s="1"/>
  <c r="I295"/>
  <c r="J295"/>
  <c r="Z295"/>
  <c r="AG295"/>
  <c r="AJ295"/>
  <c r="AS277" s="1"/>
  <c r="AK295"/>
  <c r="AL295"/>
  <c r="AO295"/>
  <c r="H295" s="1"/>
  <c r="AP295"/>
  <c r="AX295" s="1"/>
  <c r="AW295"/>
  <c r="AV295" s="1"/>
  <c r="BC295"/>
  <c r="BD295"/>
  <c r="BF295"/>
  <c r="BI295"/>
  <c r="AE295" s="1"/>
  <c r="BJ295"/>
  <c r="AH295" s="1"/>
  <c r="J297"/>
  <c r="Z297"/>
  <c r="AH297"/>
  <c r="AJ297"/>
  <c r="AK297"/>
  <c r="AL297"/>
  <c r="AO297"/>
  <c r="AW297" s="1"/>
  <c r="BC297" s="1"/>
  <c r="AP297"/>
  <c r="I297" s="1"/>
  <c r="AX297"/>
  <c r="BD297"/>
  <c r="BF297"/>
  <c r="BH297"/>
  <c r="AB297" s="1"/>
  <c r="BI297"/>
  <c r="AG297" s="1"/>
  <c r="BJ297"/>
  <c r="H299"/>
  <c r="I299"/>
  <c r="I298" s="1"/>
  <c r="J299"/>
  <c r="AJ299"/>
  <c r="AK299"/>
  <c r="AL299"/>
  <c r="AO299"/>
  <c r="BH299" s="1"/>
  <c r="AP299"/>
  <c r="AX299" s="1"/>
  <c r="AV299"/>
  <c r="AW299"/>
  <c r="BC299" s="1"/>
  <c r="BD299"/>
  <c r="BF299"/>
  <c r="BJ299"/>
  <c r="AH299" s="1"/>
  <c r="H301"/>
  <c r="J301"/>
  <c r="J298" s="1"/>
  <c r="Z301"/>
  <c r="AH301"/>
  <c r="AJ301"/>
  <c r="AS298" s="1"/>
  <c r="AO301"/>
  <c r="AW301" s="1"/>
  <c r="AV301" s="1"/>
  <c r="AP301"/>
  <c r="I301" s="1"/>
  <c r="AX301"/>
  <c r="BC301"/>
  <c r="BD301"/>
  <c r="BF301"/>
  <c r="BI301"/>
  <c r="AG301" s="1"/>
  <c r="BJ301"/>
  <c r="I303"/>
  <c r="J303"/>
  <c r="Z303"/>
  <c r="AH303"/>
  <c r="AJ303"/>
  <c r="AK303"/>
  <c r="AL303"/>
  <c r="AO303"/>
  <c r="H303" s="1"/>
  <c r="AP303"/>
  <c r="AX303"/>
  <c r="BD303"/>
  <c r="BF303"/>
  <c r="BH303"/>
  <c r="AF303" s="1"/>
  <c r="BI303"/>
  <c r="AE303" s="1"/>
  <c r="BJ303"/>
  <c r="H306"/>
  <c r="J306"/>
  <c r="AH306"/>
  <c r="AJ306"/>
  <c r="AK306"/>
  <c r="AL306"/>
  <c r="AO306"/>
  <c r="AW306" s="1"/>
  <c r="AP306"/>
  <c r="I306" s="1"/>
  <c r="AV306"/>
  <c r="AX306"/>
  <c r="BC306" s="1"/>
  <c r="BD306"/>
  <c r="BF306"/>
  <c r="BJ306"/>
  <c r="Z306" s="1"/>
  <c r="H308"/>
  <c r="I308"/>
  <c r="J308"/>
  <c r="J305" s="1"/>
  <c r="AB308"/>
  <c r="AF308"/>
  <c r="AG308"/>
  <c r="AO308"/>
  <c r="AP308"/>
  <c r="AV308"/>
  <c r="AW308"/>
  <c r="BC308" s="1"/>
  <c r="AX308"/>
  <c r="BD308"/>
  <c r="BF308"/>
  <c r="BH308"/>
  <c r="AD308" s="1"/>
  <c r="BI308"/>
  <c r="AE308" s="1"/>
  <c r="BJ308"/>
  <c r="Z308" s="1"/>
  <c r="H312"/>
  <c r="J312"/>
  <c r="AF312"/>
  <c r="AJ312"/>
  <c r="AK312"/>
  <c r="AL312"/>
  <c r="AO312"/>
  <c r="AP312"/>
  <c r="I312" s="1"/>
  <c r="AW312"/>
  <c r="BD312"/>
  <c r="BF312"/>
  <c r="BH312"/>
  <c r="AD312" s="1"/>
  <c r="BJ312"/>
  <c r="Z312" s="1"/>
  <c r="J314"/>
  <c r="AK314" s="1"/>
  <c r="AL314"/>
  <c r="AO314"/>
  <c r="AW314" s="1"/>
  <c r="AP314"/>
  <c r="AX314" s="1"/>
  <c r="BD314"/>
  <c r="BF314"/>
  <c r="BH314"/>
  <c r="AB314" s="1"/>
  <c r="BI314"/>
  <c r="AC314" s="1"/>
  <c r="BJ314"/>
  <c r="AH314" s="1"/>
  <c r="J318"/>
  <c r="Z318"/>
  <c r="AC318"/>
  <c r="AH318"/>
  <c r="AJ318"/>
  <c r="AK318"/>
  <c r="AL318"/>
  <c r="AO318"/>
  <c r="AW318" s="1"/>
  <c r="AP318"/>
  <c r="I318" s="1"/>
  <c r="BD318"/>
  <c r="BF318"/>
  <c r="BH318"/>
  <c r="AB318" s="1"/>
  <c r="BI318"/>
  <c r="AG318" s="1"/>
  <c r="BJ318"/>
  <c r="I321"/>
  <c r="J321"/>
  <c r="Z321"/>
  <c r="AC321"/>
  <c r="AG321"/>
  <c r="AJ321"/>
  <c r="AK321"/>
  <c r="AL321"/>
  <c r="AO321"/>
  <c r="BH321" s="1"/>
  <c r="AP321"/>
  <c r="AX321"/>
  <c r="BD321"/>
  <c r="BF321"/>
  <c r="BI321"/>
  <c r="AE321" s="1"/>
  <c r="BJ321"/>
  <c r="AH321" s="1"/>
  <c r="H323"/>
  <c r="J323"/>
  <c r="Z323"/>
  <c r="AB323"/>
  <c r="AC323"/>
  <c r="AF323"/>
  <c r="AH323"/>
  <c r="AJ323"/>
  <c r="AK323"/>
  <c r="AL323"/>
  <c r="AO323"/>
  <c r="AP323"/>
  <c r="I323" s="1"/>
  <c r="AW323"/>
  <c r="AV323" s="1"/>
  <c r="AX323"/>
  <c r="BC323"/>
  <c r="BD323"/>
  <c r="BF323"/>
  <c r="BH323"/>
  <c r="AD323" s="1"/>
  <c r="BI323"/>
  <c r="AG323" s="1"/>
  <c r="BJ323"/>
  <c r="I325"/>
  <c r="J325"/>
  <c r="AJ325" s="1"/>
  <c r="Z325"/>
  <c r="AG325"/>
  <c r="AH325"/>
  <c r="AO325"/>
  <c r="H325" s="1"/>
  <c r="AP325"/>
  <c r="AW325"/>
  <c r="AV325" s="1"/>
  <c r="AX325"/>
  <c r="BC325" s="1"/>
  <c r="BD325"/>
  <c r="BF325"/>
  <c r="BI325"/>
  <c r="AE325" s="1"/>
  <c r="BJ325"/>
  <c r="H327"/>
  <c r="I327"/>
  <c r="J327"/>
  <c r="AJ327" s="1"/>
  <c r="Z327"/>
  <c r="AC327"/>
  <c r="AF327"/>
  <c r="AG327"/>
  <c r="AH327"/>
  <c r="AO327"/>
  <c r="AP327"/>
  <c r="AW327"/>
  <c r="AV327" s="1"/>
  <c r="AX327"/>
  <c r="BD327"/>
  <c r="BF327"/>
  <c r="BH327"/>
  <c r="AD327" s="1"/>
  <c r="BI327"/>
  <c r="AE327" s="1"/>
  <c r="BJ327"/>
  <c r="I330"/>
  <c r="J330"/>
  <c r="AK330" s="1"/>
  <c r="Z330"/>
  <c r="AB330"/>
  <c r="AG330"/>
  <c r="AH330"/>
  <c r="AO330"/>
  <c r="H330" s="1"/>
  <c r="H329" s="1"/>
  <c r="AP330"/>
  <c r="AW330"/>
  <c r="AV330" s="1"/>
  <c r="AX330"/>
  <c r="BC330" s="1"/>
  <c r="BD330"/>
  <c r="BF330"/>
  <c r="BH330"/>
  <c r="AF330" s="1"/>
  <c r="BI330"/>
  <c r="AE330" s="1"/>
  <c r="BJ330"/>
  <c r="H332"/>
  <c r="I332"/>
  <c r="I329" s="1"/>
  <c r="J332"/>
  <c r="AJ332" s="1"/>
  <c r="Z332"/>
  <c r="AC332"/>
  <c r="AF332"/>
  <c r="AG332"/>
  <c r="AH332"/>
  <c r="AO332"/>
  <c r="AP332"/>
  <c r="AW332"/>
  <c r="AV332" s="1"/>
  <c r="AX332"/>
  <c r="BD332"/>
  <c r="BF332"/>
  <c r="BH332"/>
  <c r="AD332" s="1"/>
  <c r="BI332"/>
  <c r="AE332" s="1"/>
  <c r="BJ332"/>
  <c r="H334"/>
  <c r="I334"/>
  <c r="J334"/>
  <c r="AL334" s="1"/>
  <c r="AB334"/>
  <c r="AF334"/>
  <c r="AG334"/>
  <c r="AO334"/>
  <c r="AP334"/>
  <c r="AV334"/>
  <c r="AW334"/>
  <c r="BC334" s="1"/>
  <c r="AX334"/>
  <c r="BD334"/>
  <c r="BF334"/>
  <c r="BH334"/>
  <c r="AD334" s="1"/>
  <c r="BI334"/>
  <c r="AE334" s="1"/>
  <c r="BJ334"/>
  <c r="AH334" s="1"/>
  <c r="H336"/>
  <c r="H337"/>
  <c r="I337"/>
  <c r="I336" s="1"/>
  <c r="J337"/>
  <c r="AJ337" s="1"/>
  <c r="AS336" s="1"/>
  <c r="Z337"/>
  <c r="AC337"/>
  <c r="AF337"/>
  <c r="AG337"/>
  <c r="AH337"/>
  <c r="AO337"/>
  <c r="AP337"/>
  <c r="AW337"/>
  <c r="AV337" s="1"/>
  <c r="AX337"/>
  <c r="BD337"/>
  <c r="BF337"/>
  <c r="BH337"/>
  <c r="AD337" s="1"/>
  <c r="BI337"/>
  <c r="AE337" s="1"/>
  <c r="BJ337"/>
  <c r="I339"/>
  <c r="I340"/>
  <c r="J340"/>
  <c r="AJ340" s="1"/>
  <c r="AS339" s="1"/>
  <c r="Z340"/>
  <c r="AG340"/>
  <c r="AH340"/>
  <c r="AO340"/>
  <c r="H340" s="1"/>
  <c r="H339" s="1"/>
  <c r="AP340"/>
  <c r="AW340"/>
  <c r="AV340" s="1"/>
  <c r="AX340"/>
  <c r="BC340" s="1"/>
  <c r="BD340"/>
  <c r="BF340"/>
  <c r="BI340"/>
  <c r="AE340" s="1"/>
  <c r="BJ340"/>
  <c r="H343"/>
  <c r="J343"/>
  <c r="Z343"/>
  <c r="AB343"/>
  <c r="AC343"/>
  <c r="AF343"/>
  <c r="AH343"/>
  <c r="AJ343"/>
  <c r="AK343"/>
  <c r="AL343"/>
  <c r="AO343"/>
  <c r="AP343"/>
  <c r="I343" s="1"/>
  <c r="AW343"/>
  <c r="AV343" s="1"/>
  <c r="AX343"/>
  <c r="BC343"/>
  <c r="BD343"/>
  <c r="BF343"/>
  <c r="BH343"/>
  <c r="AD343" s="1"/>
  <c r="BI343"/>
  <c r="AG343" s="1"/>
  <c r="BJ343"/>
  <c r="I345"/>
  <c r="J345"/>
  <c r="AK345" s="1"/>
  <c r="Z345"/>
  <c r="AG345"/>
  <c r="AH345"/>
  <c r="AO345"/>
  <c r="H345" s="1"/>
  <c r="AP345"/>
  <c r="AW345"/>
  <c r="AV345" s="1"/>
  <c r="AX345"/>
  <c r="BC345" s="1"/>
  <c r="BD345"/>
  <c r="BF345"/>
  <c r="BI345"/>
  <c r="AE345" s="1"/>
  <c r="BJ345"/>
  <c r="H347"/>
  <c r="I347"/>
  <c r="J347"/>
  <c r="AL347" s="1"/>
  <c r="Z347"/>
  <c r="AC347"/>
  <c r="AF347"/>
  <c r="AG347"/>
  <c r="AH347"/>
  <c r="AO347"/>
  <c r="AP347"/>
  <c r="AW347"/>
  <c r="AV347" s="1"/>
  <c r="AX347"/>
  <c r="BD347"/>
  <c r="BF347"/>
  <c r="BH347"/>
  <c r="AD347" s="1"/>
  <c r="BI347"/>
  <c r="AE347" s="1"/>
  <c r="BJ347"/>
  <c r="H349"/>
  <c r="I349"/>
  <c r="J349"/>
  <c r="AL349" s="1"/>
  <c r="AB349"/>
  <c r="AF349"/>
  <c r="AG349"/>
  <c r="AO349"/>
  <c r="AP349"/>
  <c r="AV349"/>
  <c r="AW349"/>
  <c r="BC349" s="1"/>
  <c r="AX349"/>
  <c r="BD349"/>
  <c r="BF349"/>
  <c r="BH349"/>
  <c r="AD349" s="1"/>
  <c r="BI349"/>
  <c r="AE349" s="1"/>
  <c r="BJ349"/>
  <c r="AH349" s="1"/>
  <c r="H351"/>
  <c r="J351"/>
  <c r="AF351"/>
  <c r="AJ351"/>
  <c r="AK351"/>
  <c r="AL351"/>
  <c r="AO351"/>
  <c r="AP351"/>
  <c r="I351" s="1"/>
  <c r="AW351"/>
  <c r="BD351"/>
  <c r="BF351"/>
  <c r="BH351"/>
  <c r="AD351" s="1"/>
  <c r="BI351"/>
  <c r="AC351" s="1"/>
  <c r="BJ351"/>
  <c r="Z351" s="1"/>
  <c r="J353"/>
  <c r="AK353" s="1"/>
  <c r="AL353"/>
  <c r="AO353"/>
  <c r="BH353" s="1"/>
  <c r="AP353"/>
  <c r="AX353" s="1"/>
  <c r="BD353"/>
  <c r="BF353"/>
  <c r="BI353"/>
  <c r="AC353" s="1"/>
  <c r="BJ353"/>
  <c r="Z353" s="1"/>
  <c r="J355"/>
  <c r="Z355"/>
  <c r="AC355"/>
  <c r="AH355"/>
  <c r="AJ355"/>
  <c r="AK355"/>
  <c r="AL355"/>
  <c r="AO355"/>
  <c r="AW355" s="1"/>
  <c r="AP355"/>
  <c r="I355" s="1"/>
  <c r="BD355"/>
  <c r="BF355"/>
  <c r="BH355"/>
  <c r="AB355" s="1"/>
  <c r="BI355"/>
  <c r="AG355" s="1"/>
  <c r="BJ355"/>
  <c r="I357"/>
  <c r="J357"/>
  <c r="Z357"/>
  <c r="AB357"/>
  <c r="AC357"/>
  <c r="AG357"/>
  <c r="AJ357"/>
  <c r="AK357"/>
  <c r="AL357"/>
  <c r="AO357"/>
  <c r="AW357" s="1"/>
  <c r="AP357"/>
  <c r="AX357"/>
  <c r="BD357"/>
  <c r="BF357"/>
  <c r="BH357"/>
  <c r="AF357" s="1"/>
  <c r="BI357"/>
  <c r="AE357" s="1"/>
  <c r="BJ357"/>
  <c r="AH357" s="1"/>
  <c r="H359"/>
  <c r="J359"/>
  <c r="Z359"/>
  <c r="AB359"/>
  <c r="AC359"/>
  <c r="AF359"/>
  <c r="AH359"/>
  <c r="AJ359"/>
  <c r="AK359"/>
  <c r="AL359"/>
  <c r="AO359"/>
  <c r="AP359"/>
  <c r="I359" s="1"/>
  <c r="AW359"/>
  <c r="AV359" s="1"/>
  <c r="AX359"/>
  <c r="BC359"/>
  <c r="BD359"/>
  <c r="BF359"/>
  <c r="BH359"/>
  <c r="AD359" s="1"/>
  <c r="BI359"/>
  <c r="AG359" s="1"/>
  <c r="BJ359"/>
  <c r="I361"/>
  <c r="J361"/>
  <c r="AK361" s="1"/>
  <c r="Z361"/>
  <c r="AB361"/>
  <c r="AG361"/>
  <c r="AH361"/>
  <c r="AO361"/>
  <c r="H361" s="1"/>
  <c r="AP361"/>
  <c r="AW361"/>
  <c r="AV361" s="1"/>
  <c r="AX361"/>
  <c r="BC361" s="1"/>
  <c r="BD361"/>
  <c r="BF361"/>
  <c r="BH361"/>
  <c r="AF361" s="1"/>
  <c r="BI361"/>
  <c r="AE361" s="1"/>
  <c r="BJ361"/>
  <c r="H363"/>
  <c r="I363"/>
  <c r="J363"/>
  <c r="AJ363" s="1"/>
  <c r="Z363"/>
  <c r="AC363"/>
  <c r="AF363"/>
  <c r="AG363"/>
  <c r="AH363"/>
  <c r="AO363"/>
  <c r="AP363"/>
  <c r="AW363"/>
  <c r="AV363" s="1"/>
  <c r="AX363"/>
  <c r="BD363"/>
  <c r="BF363"/>
  <c r="BH363"/>
  <c r="AD363" s="1"/>
  <c r="BI363"/>
  <c r="AE363" s="1"/>
  <c r="BJ363"/>
  <c r="H365"/>
  <c r="I365"/>
  <c r="J365"/>
  <c r="AK365" s="1"/>
  <c r="AB365"/>
  <c r="AF365"/>
  <c r="AG365"/>
  <c r="AO365"/>
  <c r="AP365"/>
  <c r="AV365"/>
  <c r="AW365"/>
  <c r="BC365" s="1"/>
  <c r="AX365"/>
  <c r="BD365"/>
  <c r="BF365"/>
  <c r="BH365"/>
  <c r="AD365" s="1"/>
  <c r="BI365"/>
  <c r="AE365" s="1"/>
  <c r="BJ365"/>
  <c r="AH365" s="1"/>
  <c r="H367"/>
  <c r="J367"/>
  <c r="AF367"/>
  <c r="AJ367"/>
  <c r="AK367"/>
  <c r="AL367"/>
  <c r="AO367"/>
  <c r="AP367"/>
  <c r="I367" s="1"/>
  <c r="AW367"/>
  <c r="BD367"/>
  <c r="BF367"/>
  <c r="BH367"/>
  <c r="AD367" s="1"/>
  <c r="BI367"/>
  <c r="AC367" s="1"/>
  <c r="BJ367"/>
  <c r="Z367" s="1"/>
  <c r="H370"/>
  <c r="H369" s="1"/>
  <c r="I370"/>
  <c r="J370"/>
  <c r="J369" s="1"/>
  <c r="AB370"/>
  <c r="AF370"/>
  <c r="AG370"/>
  <c r="AO370"/>
  <c r="AP370"/>
  <c r="AV370"/>
  <c r="AW370"/>
  <c r="BC370" s="1"/>
  <c r="AX370"/>
  <c r="BD370"/>
  <c r="BF370"/>
  <c r="BH370"/>
  <c r="AD370" s="1"/>
  <c r="BI370"/>
  <c r="AE370" s="1"/>
  <c r="BJ370"/>
  <c r="AH370" s="1"/>
  <c r="H371"/>
  <c r="J371"/>
  <c r="AF371"/>
  <c r="AJ371"/>
  <c r="AK371"/>
  <c r="AL371"/>
  <c r="AO371"/>
  <c r="AP371"/>
  <c r="BI371" s="1"/>
  <c r="AW371"/>
  <c r="BD371"/>
  <c r="BF371"/>
  <c r="BH371"/>
  <c r="AD371" s="1"/>
  <c r="BJ371"/>
  <c r="Z371" s="1"/>
  <c r="C2" i="2"/>
  <c r="F2"/>
  <c r="C4"/>
  <c r="F4"/>
  <c r="C6"/>
  <c r="F6"/>
  <c r="C8"/>
  <c r="F8"/>
  <c r="C10"/>
  <c r="F10"/>
  <c r="I10"/>
  <c r="F14"/>
  <c r="I14"/>
  <c r="I22" s="1"/>
  <c r="F15"/>
  <c r="I16"/>
  <c r="I17"/>
  <c r="I18"/>
  <c r="I19"/>
  <c r="C2" i="3"/>
  <c r="F2"/>
  <c r="C4"/>
  <c r="F4"/>
  <c r="C6"/>
  <c r="F6"/>
  <c r="C8"/>
  <c r="F8"/>
  <c r="C10"/>
  <c r="F10"/>
  <c r="I10"/>
  <c r="I15"/>
  <c r="I16"/>
  <c r="I17"/>
  <c r="F16" i="2" s="1"/>
  <c r="I18" i="3"/>
  <c r="I21"/>
  <c r="I27" s="1"/>
  <c r="I22"/>
  <c r="I15" i="2" s="1"/>
  <c r="I23" i="3"/>
  <c r="I24"/>
  <c r="I25"/>
  <c r="I26"/>
  <c r="I35"/>
  <c r="I36" s="1"/>
  <c r="I24" i="2" s="1"/>
  <c r="F22" l="1"/>
  <c r="AE293" i="1"/>
  <c r="AG293"/>
  <c r="AC293"/>
  <c r="AB353"/>
  <c r="AD353"/>
  <c r="AF353"/>
  <c r="AB28"/>
  <c r="AF28"/>
  <c r="AD28"/>
  <c r="AD299"/>
  <c r="AF299"/>
  <c r="AB299"/>
  <c r="AE273"/>
  <c r="AG273"/>
  <c r="AC273"/>
  <c r="BC213"/>
  <c r="AV213"/>
  <c r="AC23"/>
  <c r="AG23"/>
  <c r="AE23"/>
  <c r="AB168"/>
  <c r="AF168"/>
  <c r="AD168"/>
  <c r="AC13"/>
  <c r="AG13"/>
  <c r="AE13"/>
  <c r="BC123"/>
  <c r="H272"/>
  <c r="AV233"/>
  <c r="BC312"/>
  <c r="BC289"/>
  <c r="I251"/>
  <c r="AS143"/>
  <c r="AB285"/>
  <c r="AD285"/>
  <c r="AF285"/>
  <c r="AB239"/>
  <c r="AD239"/>
  <c r="AF239"/>
  <c r="AB25"/>
  <c r="AF25"/>
  <c r="AD25"/>
  <c r="AB270"/>
  <c r="AD270"/>
  <c r="AF270"/>
  <c r="AC262"/>
  <c r="AG262"/>
  <c r="AE262"/>
  <c r="AC20"/>
  <c r="AG20"/>
  <c r="AE20"/>
  <c r="F29" i="3"/>
  <c r="H305" i="1"/>
  <c r="BC314"/>
  <c r="AV314"/>
  <c r="BC357"/>
  <c r="AV357"/>
  <c r="BC355"/>
  <c r="AF321"/>
  <c r="AB321"/>
  <c r="AD321"/>
  <c r="AE226"/>
  <c r="AG226"/>
  <c r="AC226"/>
  <c r="AB215"/>
  <c r="AD215"/>
  <c r="AF215"/>
  <c r="AC371"/>
  <c r="AG371"/>
  <c r="AE371"/>
  <c r="AB53"/>
  <c r="AF53"/>
  <c r="AD53"/>
  <c r="AC41"/>
  <c r="AG41"/>
  <c r="AE41"/>
  <c r="I277"/>
  <c r="Z134"/>
  <c r="AH134"/>
  <c r="AW113"/>
  <c r="H113"/>
  <c r="H112" s="1"/>
  <c r="AL90"/>
  <c r="AK90"/>
  <c r="BC45"/>
  <c r="AV45"/>
  <c r="AB177"/>
  <c r="AF177"/>
  <c r="Z158"/>
  <c r="AH158"/>
  <c r="AV156"/>
  <c r="BC156"/>
  <c r="AG136"/>
  <c r="AC136"/>
  <c r="AB80"/>
  <c r="AF80"/>
  <c r="AF161"/>
  <c r="AB161"/>
  <c r="AX136"/>
  <c r="I136"/>
  <c r="AB130"/>
  <c r="AF130"/>
  <c r="AL125"/>
  <c r="AU122" s="1"/>
  <c r="AK125"/>
  <c r="AT122" s="1"/>
  <c r="AX123"/>
  <c r="AV123" s="1"/>
  <c r="I123"/>
  <c r="I122" s="1"/>
  <c r="AB118"/>
  <c r="AF118"/>
  <c r="AK115"/>
  <c r="AJ115"/>
  <c r="AL113"/>
  <c r="AU112" s="1"/>
  <c r="J112"/>
  <c r="AK113"/>
  <c r="AT112" s="1"/>
  <c r="AB105"/>
  <c r="AF105"/>
  <c r="Z96"/>
  <c r="AH96"/>
  <c r="AC78"/>
  <c r="AG78"/>
  <c r="AB43"/>
  <c r="AF43"/>
  <c r="AB41"/>
  <c r="AF41"/>
  <c r="BC35"/>
  <c r="AV35"/>
  <c r="AB20"/>
  <c r="AF20"/>
  <c r="AC15"/>
  <c r="AG15"/>
  <c r="AK141"/>
  <c r="AJ141"/>
  <c r="AL138"/>
  <c r="AK138"/>
  <c r="AL72"/>
  <c r="AK72"/>
  <c r="AJ72"/>
  <c r="BC58"/>
  <c r="AV58"/>
  <c r="BI312"/>
  <c r="AJ245"/>
  <c r="AD355"/>
  <c r="AJ345"/>
  <c r="AS342" s="1"/>
  <c r="AJ330"/>
  <c r="AS329" s="1"/>
  <c r="AE287"/>
  <c r="AK245"/>
  <c r="AJ243"/>
  <c r="AS225" s="1"/>
  <c r="AC237"/>
  <c r="AX168"/>
  <c r="AV47"/>
  <c r="I371"/>
  <c r="I369" s="1"/>
  <c r="AG367"/>
  <c r="AD357"/>
  <c r="H353"/>
  <c r="H342" s="1"/>
  <c r="H314"/>
  <c r="AH308"/>
  <c r="AL267"/>
  <c r="AU266" s="1"/>
  <c r="AK229"/>
  <c r="BC215"/>
  <c r="AX173"/>
  <c r="AX125"/>
  <c r="Z123"/>
  <c r="AX113"/>
  <c r="AX371"/>
  <c r="AV371" s="1"/>
  <c r="AH371"/>
  <c r="AJ370"/>
  <c r="AS369" s="1"/>
  <c r="Z370"/>
  <c r="AX367"/>
  <c r="AV367" s="1"/>
  <c r="AH367"/>
  <c r="AJ365"/>
  <c r="Z365"/>
  <c r="AK363"/>
  <c r="AB363"/>
  <c r="AL361"/>
  <c r="AC361"/>
  <c r="AF355"/>
  <c r="H355"/>
  <c r="AW353"/>
  <c r="AG353"/>
  <c r="I353"/>
  <c r="I342" s="1"/>
  <c r="AX351"/>
  <c r="AV351" s="1"/>
  <c r="AH351"/>
  <c r="AJ349"/>
  <c r="Z349"/>
  <c r="AK347"/>
  <c r="AT342" s="1"/>
  <c r="AB347"/>
  <c r="AL345"/>
  <c r="AU342" s="1"/>
  <c r="AC345"/>
  <c r="AL340"/>
  <c r="AU339" s="1"/>
  <c r="AC340"/>
  <c r="AK337"/>
  <c r="AT336" s="1"/>
  <c r="AB337"/>
  <c r="J336"/>
  <c r="AJ334"/>
  <c r="Z334"/>
  <c r="AK332"/>
  <c r="AT329" s="1"/>
  <c r="AB332"/>
  <c r="AL330"/>
  <c r="AC330"/>
  <c r="AK327"/>
  <c r="AB327"/>
  <c r="AL325"/>
  <c r="AC325"/>
  <c r="AF318"/>
  <c r="H318"/>
  <c r="AG314"/>
  <c r="I314"/>
  <c r="I305" s="1"/>
  <c r="AX312"/>
  <c r="AV312" s="1"/>
  <c r="AH312"/>
  <c r="AJ308"/>
  <c r="AD303"/>
  <c r="BH301"/>
  <c r="AL301"/>
  <c r="AU298" s="1"/>
  <c r="AD297"/>
  <c r="BH295"/>
  <c r="AH291"/>
  <c r="AX289"/>
  <c r="AV289" s="1"/>
  <c r="AW285"/>
  <c r="H285"/>
  <c r="H277" s="1"/>
  <c r="AW278"/>
  <c r="AE278"/>
  <c r="AL275"/>
  <c r="AK273"/>
  <c r="AT272" s="1"/>
  <c r="AW270"/>
  <c r="H270"/>
  <c r="H269" s="1"/>
  <c r="AC267"/>
  <c r="J266"/>
  <c r="AH264"/>
  <c r="AX262"/>
  <c r="AV262" s="1"/>
  <c r="AH262"/>
  <c r="I262"/>
  <c r="I261" s="1"/>
  <c r="AD259"/>
  <c r="AC257"/>
  <c r="J256"/>
  <c r="AH254"/>
  <c r="AX252"/>
  <c r="AV252" s="1"/>
  <c r="AH252"/>
  <c r="AC247"/>
  <c r="BH243"/>
  <c r="AL243"/>
  <c r="AW239"/>
  <c r="H239"/>
  <c r="H225" s="1"/>
  <c r="AE237"/>
  <c r="AD235"/>
  <c r="AL231"/>
  <c r="AB229"/>
  <c r="AK226"/>
  <c r="AW223"/>
  <c r="AJ219"/>
  <c r="AB217"/>
  <c r="AC213"/>
  <c r="AH209"/>
  <c r="BH203"/>
  <c r="BH196"/>
  <c r="BH186"/>
  <c r="Z183"/>
  <c r="AH180"/>
  <c r="AW170"/>
  <c r="BI144"/>
  <c r="AW141"/>
  <c r="AX138"/>
  <c r="Z136"/>
  <c r="BH132"/>
  <c r="BI130"/>
  <c r="BI118"/>
  <c r="AW115"/>
  <c r="BH107"/>
  <c r="BI105"/>
  <c r="AV96"/>
  <c r="AW72"/>
  <c r="AX70"/>
  <c r="AV70" s="1"/>
  <c r="AS17"/>
  <c r="AB170"/>
  <c r="AF170"/>
  <c r="AG138"/>
  <c r="AC138"/>
  <c r="AK33"/>
  <c r="AJ33"/>
  <c r="AL168"/>
  <c r="AU160" s="1"/>
  <c r="AK168"/>
  <c r="J52"/>
  <c r="AK53"/>
  <c r="AJ53"/>
  <c r="AK213"/>
  <c r="AJ213"/>
  <c r="AX217"/>
  <c r="I217"/>
  <c r="AF189"/>
  <c r="AB189"/>
  <c r="AG186"/>
  <c r="AC186"/>
  <c r="Z153"/>
  <c r="AH153"/>
  <c r="AW144"/>
  <c r="H144"/>
  <c r="H143" s="1"/>
  <c r="AW130"/>
  <c r="H130"/>
  <c r="AC128"/>
  <c r="AG128"/>
  <c r="AW118"/>
  <c r="H118"/>
  <c r="H117" s="1"/>
  <c r="AW105"/>
  <c r="H105"/>
  <c r="AC98"/>
  <c r="AG98"/>
  <c r="AF90"/>
  <c r="AB90"/>
  <c r="AW80"/>
  <c r="H80"/>
  <c r="AW78"/>
  <c r="H78"/>
  <c r="AC76"/>
  <c r="AG76"/>
  <c r="Z74"/>
  <c r="AH74"/>
  <c r="AL70"/>
  <c r="AK70"/>
  <c r="AW38"/>
  <c r="H38"/>
  <c r="H37" s="1"/>
  <c r="AB33"/>
  <c r="AF33"/>
  <c r="AB31"/>
  <c r="AF31"/>
  <c r="AC25"/>
  <c r="AG25"/>
  <c r="AW15"/>
  <c r="H15"/>
  <c r="Z13"/>
  <c r="AH13"/>
  <c r="AD314"/>
  <c r="BI289"/>
  <c r="AB223"/>
  <c r="Z150"/>
  <c r="BC347"/>
  <c r="AC303"/>
  <c r="AB259"/>
  <c r="AL363"/>
  <c r="AD361"/>
  <c r="AK334"/>
  <c r="AL332"/>
  <c r="AD330"/>
  <c r="AL327"/>
  <c r="AW303"/>
  <c r="AV297"/>
  <c r="AC295"/>
  <c r="AB293"/>
  <c r="AH289"/>
  <c r="AX287"/>
  <c r="AH287"/>
  <c r="AH285"/>
  <c r="AX278"/>
  <c r="AG278"/>
  <c r="BH275"/>
  <c r="AL273"/>
  <c r="AU272" s="1"/>
  <c r="AH270"/>
  <c r="AE267"/>
  <c r="AE257"/>
  <c r="AE247"/>
  <c r="AC243"/>
  <c r="AG239"/>
  <c r="I239"/>
  <c r="I225" s="1"/>
  <c r="AW237"/>
  <c r="AF237"/>
  <c r="AL226"/>
  <c r="AB226"/>
  <c r="AH223"/>
  <c r="AW221"/>
  <c r="AD221"/>
  <c r="AC217"/>
  <c r="AD213"/>
  <c r="AX207"/>
  <c r="AG207"/>
  <c r="AW192"/>
  <c r="H186"/>
  <c r="AW177"/>
  <c r="AD170"/>
  <c r="BC158"/>
  <c r="BC70"/>
  <c r="H12"/>
  <c r="AW199"/>
  <c r="H199"/>
  <c r="AW125"/>
  <c r="H125"/>
  <c r="H122" s="1"/>
  <c r="AK92"/>
  <c r="AJ92"/>
  <c r="AX31"/>
  <c r="I31"/>
  <c r="I30" s="1"/>
  <c r="AB15"/>
  <c r="AF15"/>
  <c r="AF144"/>
  <c r="AB144"/>
  <c r="AL209"/>
  <c r="AK209"/>
  <c r="AL186"/>
  <c r="AK186"/>
  <c r="AX98"/>
  <c r="I98"/>
  <c r="AK80"/>
  <c r="AJ80"/>
  <c r="AX78"/>
  <c r="I78"/>
  <c r="Z76"/>
  <c r="AH76"/>
  <c r="AW43"/>
  <c r="H43"/>
  <c r="AW41"/>
  <c r="H41"/>
  <c r="H40" s="1"/>
  <c r="J37"/>
  <c r="AK38"/>
  <c r="AT37" s="1"/>
  <c r="AJ38"/>
  <c r="AS37" s="1"/>
  <c r="AW20"/>
  <c r="H20"/>
  <c r="AC18"/>
  <c r="AG18"/>
  <c r="AX15"/>
  <c r="I15"/>
  <c r="AX13"/>
  <c r="I13"/>
  <c r="I12" s="1"/>
  <c r="AE367"/>
  <c r="AB278"/>
  <c r="AC239"/>
  <c r="AK221"/>
  <c r="AE353"/>
  <c r="J342"/>
  <c r="AD318"/>
  <c r="AB303"/>
  <c r="H298"/>
  <c r="AK249"/>
  <c r="AL235"/>
  <c r="AL205"/>
  <c r="Z165"/>
  <c r="AE355"/>
  <c r="AG351"/>
  <c r="AJ347"/>
  <c r="AK340"/>
  <c r="AT339" s="1"/>
  <c r="BC337"/>
  <c r="J329"/>
  <c r="AK325"/>
  <c r="AE318"/>
  <c r="AK301"/>
  <c r="AT298" s="1"/>
  <c r="AC297"/>
  <c r="AD278"/>
  <c r="AJ273"/>
  <c r="AS272" s="1"/>
  <c r="AL257"/>
  <c r="AU256" s="1"/>
  <c r="BC209"/>
  <c r="AE207"/>
  <c r="AX199"/>
  <c r="AK370"/>
  <c r="AT369" s="1"/>
  <c r="AE359"/>
  <c r="H357"/>
  <c r="AH353"/>
  <c r="AK349"/>
  <c r="BH345"/>
  <c r="BH340"/>
  <c r="AL337"/>
  <c r="AU336" s="1"/>
  <c r="H321"/>
  <c r="AC301"/>
  <c r="AB371"/>
  <c r="AL370"/>
  <c r="AU369" s="1"/>
  <c r="AC370"/>
  <c r="AB367"/>
  <c r="AL365"/>
  <c r="AC365"/>
  <c r="AX355"/>
  <c r="AV355" s="1"/>
  <c r="AJ353"/>
  <c r="AB351"/>
  <c r="AC349"/>
  <c r="AC334"/>
  <c r="AW321"/>
  <c r="AX318"/>
  <c r="AV318" s="1"/>
  <c r="AJ314"/>
  <c r="Z314"/>
  <c r="AB312"/>
  <c r="AL308"/>
  <c r="AU305" s="1"/>
  <c r="AC308"/>
  <c r="BH306"/>
  <c r="AG303"/>
  <c r="AF297"/>
  <c r="AL291"/>
  <c r="AU277" s="1"/>
  <c r="AK264"/>
  <c r="AK262"/>
  <c r="AW259"/>
  <c r="AK254"/>
  <c r="AK252"/>
  <c r="AT251" s="1"/>
  <c r="AW249"/>
  <c r="BH241"/>
  <c r="AX237"/>
  <c r="AW235"/>
  <c r="AF235"/>
  <c r="AE233"/>
  <c r="AD229"/>
  <c r="J225"/>
  <c r="BI219"/>
  <c r="AD217"/>
  <c r="I215"/>
  <c r="I172" s="1"/>
  <c r="AE213"/>
  <c r="BI189"/>
  <c r="AE183"/>
  <c r="AL180"/>
  <c r="AU172" s="1"/>
  <c r="AD177"/>
  <c r="J172"/>
  <c r="I160"/>
  <c r="BH156"/>
  <c r="AE136"/>
  <c r="Z98"/>
  <c r="BH92"/>
  <c r="BI90"/>
  <c r="AJ90"/>
  <c r="AV74"/>
  <c r="BI31"/>
  <c r="AV189"/>
  <c r="BC189"/>
  <c r="AW173"/>
  <c r="H173"/>
  <c r="AC123"/>
  <c r="AG123"/>
  <c r="AX165"/>
  <c r="BC165" s="1"/>
  <c r="I165"/>
  <c r="J155"/>
  <c r="AK156"/>
  <c r="AT155" s="1"/>
  <c r="AJ156"/>
  <c r="AS155" s="1"/>
  <c r="AX150"/>
  <c r="BC150" s="1"/>
  <c r="I150"/>
  <c r="I143" s="1"/>
  <c r="AW138"/>
  <c r="H138"/>
  <c r="H127" s="1"/>
  <c r="AV92"/>
  <c r="BC92"/>
  <c r="AB38"/>
  <c r="AF38"/>
  <c r="AF146"/>
  <c r="AB146"/>
  <c r="AW219"/>
  <c r="H219"/>
  <c r="AX196"/>
  <c r="I196"/>
  <c r="Z163"/>
  <c r="AH163"/>
  <c r="J160"/>
  <c r="AK161"/>
  <c r="AT160" s="1"/>
  <c r="AJ161"/>
  <c r="Z148"/>
  <c r="AH148"/>
  <c r="AK146"/>
  <c r="AJ146"/>
  <c r="AL144"/>
  <c r="AU143" s="1"/>
  <c r="J143"/>
  <c r="AK144"/>
  <c r="AK132"/>
  <c r="AJ132"/>
  <c r="AS127" s="1"/>
  <c r="AL130"/>
  <c r="AU127" s="1"/>
  <c r="AK130"/>
  <c r="AT127" s="1"/>
  <c r="AX128"/>
  <c r="I128"/>
  <c r="I127" s="1"/>
  <c r="AL118"/>
  <c r="AU117" s="1"/>
  <c r="J117"/>
  <c r="AK118"/>
  <c r="AT117" s="1"/>
  <c r="AK107"/>
  <c r="AJ107"/>
  <c r="AL105"/>
  <c r="AK105"/>
  <c r="AW90"/>
  <c r="H90"/>
  <c r="AG84"/>
  <c r="AE84"/>
  <c r="AC84"/>
  <c r="AX76"/>
  <c r="I76"/>
  <c r="BC50"/>
  <c r="AV50"/>
  <c r="AK43"/>
  <c r="AJ43"/>
  <c r="AS40" s="1"/>
  <c r="AX41"/>
  <c r="I41"/>
  <c r="I40" s="1"/>
  <c r="AW28"/>
  <c r="H28"/>
  <c r="AW25"/>
  <c r="H25"/>
  <c r="H22" s="1"/>
  <c r="AX20"/>
  <c r="I20"/>
  <c r="Z18"/>
  <c r="AH18"/>
  <c r="AE351"/>
  <c r="AE252"/>
  <c r="AB237"/>
  <c r="AJ361"/>
  <c r="AK247"/>
  <c r="Z47"/>
  <c r="BC363"/>
  <c r="J339"/>
  <c r="BC332"/>
  <c r="BC327"/>
  <c r="AF314"/>
  <c r="AG252"/>
  <c r="BH249"/>
  <c r="AK233"/>
  <c r="AF223"/>
  <c r="AB221"/>
  <c r="AE343"/>
  <c r="BH325"/>
  <c r="AE323"/>
  <c r="AK308"/>
  <c r="Z299"/>
  <c r="AE297"/>
  <c r="BI306"/>
  <c r="AE301"/>
  <c r="BI299"/>
  <c r="H297"/>
  <c r="AD273"/>
  <c r="AL262"/>
  <c r="AU261" s="1"/>
  <c r="AL252"/>
  <c r="AU251" s="1"/>
  <c r="AW243"/>
  <c r="AE243"/>
  <c r="BI241"/>
  <c r="Z239"/>
  <c r="AH237"/>
  <c r="AD226"/>
  <c r="AB219"/>
  <c r="AE217"/>
  <c r="BI215"/>
  <c r="AF213"/>
  <c r="AJ207"/>
  <c r="AW203"/>
  <c r="BH199"/>
  <c r="AC196"/>
  <c r="BH173"/>
  <c r="AJ173"/>
  <c r="BI168"/>
  <c r="AJ168"/>
  <c r="AW161"/>
  <c r="AL156"/>
  <c r="AU155" s="1"/>
  <c r="AV153"/>
  <c r="AW146"/>
  <c r="AE138"/>
  <c r="BH125"/>
  <c r="AS122"/>
  <c r="J122"/>
  <c r="BH113"/>
  <c r="AL92"/>
  <c r="AL33"/>
  <c r="AU30" s="1"/>
  <c r="AS30"/>
  <c r="H17"/>
  <c r="AG70"/>
  <c r="AC70"/>
  <c r="AW53"/>
  <c r="H53"/>
  <c r="H52" s="1"/>
  <c r="AX23"/>
  <c r="I23"/>
  <c r="Z192"/>
  <c r="AH192"/>
  <c r="AB78"/>
  <c r="AF78"/>
  <c r="Z215"/>
  <c r="AH215"/>
  <c r="AK189"/>
  <c r="AJ189"/>
  <c r="AW168"/>
  <c r="H168"/>
  <c r="H160" s="1"/>
  <c r="BC132"/>
  <c r="AV132"/>
  <c r="BC107"/>
  <c r="AV107"/>
  <c r="BC82"/>
  <c r="AV82"/>
  <c r="AW33"/>
  <c r="H33"/>
  <c r="AW31"/>
  <c r="H31"/>
  <c r="H30" s="1"/>
  <c r="AK28"/>
  <c r="AJ28"/>
  <c r="C27" i="2" s="1"/>
  <c r="AX25" i="1"/>
  <c r="I25"/>
  <c r="Z23"/>
  <c r="AH23"/>
  <c r="AX18"/>
  <c r="I18"/>
  <c r="I17" s="1"/>
  <c r="AJ267"/>
  <c r="AS266" s="1"/>
  <c r="AJ259"/>
  <c r="AS256" s="1"/>
  <c r="AE314"/>
  <c r="AK259"/>
  <c r="AT256" s="1"/>
  <c r="AL221"/>
  <c r="AV293"/>
  <c r="AW275"/>
  <c r="AV273"/>
  <c r="AX267"/>
  <c r="BC267" s="1"/>
  <c r="AX257"/>
  <c r="BC257" s="1"/>
  <c r="AX247"/>
  <c r="BC247" s="1"/>
  <c r="AG233"/>
  <c r="AW229"/>
  <c r="AV226"/>
  <c r="BI199"/>
  <c r="BH192"/>
  <c r="AG183"/>
  <c r="BI173"/>
  <c r="AK173"/>
  <c r="AJ170"/>
  <c r="BI165"/>
  <c r="BI150"/>
  <c r="BH141"/>
  <c r="BH138"/>
  <c r="BI125"/>
  <c r="AJ125"/>
  <c r="BH115"/>
  <c r="BI113"/>
  <c r="AJ113"/>
  <c r="AS112" s="1"/>
  <c r="AE98"/>
  <c r="BH72"/>
  <c r="AL53"/>
  <c r="AU52" s="1"/>
  <c r="AD15"/>
  <c r="AB70"/>
  <c r="AC64"/>
  <c r="AC47"/>
  <c r="AD70"/>
  <c r="AE64"/>
  <c r="AE47"/>
  <c r="J12"/>
  <c r="I84"/>
  <c r="AH82"/>
  <c r="AK78"/>
  <c r="H70"/>
  <c r="I64"/>
  <c r="I52" s="1"/>
  <c r="AH58"/>
  <c r="AH50"/>
  <c r="I47"/>
  <c r="AH45"/>
  <c r="AK41"/>
  <c r="AT40" s="1"/>
  <c r="J40"/>
  <c r="AH35"/>
  <c r="AK31"/>
  <c r="AT30" s="1"/>
  <c r="J30"/>
  <c r="AK25"/>
  <c r="AT22" s="1"/>
  <c r="AK20"/>
  <c r="AF192" l="1"/>
  <c r="AD192"/>
  <c r="AB192"/>
  <c r="AG306"/>
  <c r="AC306"/>
  <c r="AE306"/>
  <c r="AD241"/>
  <c r="AF241"/>
  <c r="AB241"/>
  <c r="AV141"/>
  <c r="BC141"/>
  <c r="AC125"/>
  <c r="AG125"/>
  <c r="AE125"/>
  <c r="AB113"/>
  <c r="AF113"/>
  <c r="AD113"/>
  <c r="BC28"/>
  <c r="AV28"/>
  <c r="AV196"/>
  <c r="BC196"/>
  <c r="AC173"/>
  <c r="AG173"/>
  <c r="AE173"/>
  <c r="BC23"/>
  <c r="AV23"/>
  <c r="AV203"/>
  <c r="BC203"/>
  <c r="AE299"/>
  <c r="AC299"/>
  <c r="AG299"/>
  <c r="BC235"/>
  <c r="AV235"/>
  <c r="BC287"/>
  <c r="AV287"/>
  <c r="BC80"/>
  <c r="AV80"/>
  <c r="AV118"/>
  <c r="BC118"/>
  <c r="AC105"/>
  <c r="AG105"/>
  <c r="AE105"/>
  <c r="AD196"/>
  <c r="AB196"/>
  <c r="AF196"/>
  <c r="AV113"/>
  <c r="BC113"/>
  <c r="AF199"/>
  <c r="AD199"/>
  <c r="AB199"/>
  <c r="AF325"/>
  <c r="AD325"/>
  <c r="AB325"/>
  <c r="AV25"/>
  <c r="BC25"/>
  <c r="AV128"/>
  <c r="BC128"/>
  <c r="AC189"/>
  <c r="AG189"/>
  <c r="AE189"/>
  <c r="BC13"/>
  <c r="AV13"/>
  <c r="BC192"/>
  <c r="AV192"/>
  <c r="AB132"/>
  <c r="AF132"/>
  <c r="AD132"/>
  <c r="AB186"/>
  <c r="AD186"/>
  <c r="AF186"/>
  <c r="AF243"/>
  <c r="AD243"/>
  <c r="AB243"/>
  <c r="AF295"/>
  <c r="AD295"/>
  <c r="AB295"/>
  <c r="AT52"/>
  <c r="BC252"/>
  <c r="C28" i="2"/>
  <c r="F28" s="1"/>
  <c r="J372" i="1"/>
  <c r="AU225"/>
  <c r="AU329"/>
  <c r="AV165"/>
  <c r="AV267"/>
  <c r="BC351"/>
  <c r="BC371"/>
  <c r="AT172"/>
  <c r="I22"/>
  <c r="AT261"/>
  <c r="AS22"/>
  <c r="AT225"/>
  <c r="AV150"/>
  <c r="AV161"/>
  <c r="BC161"/>
  <c r="AV173"/>
  <c r="BC173"/>
  <c r="AF92"/>
  <c r="AB92"/>
  <c r="AD92"/>
  <c r="BC259"/>
  <c r="AV259"/>
  <c r="AV15"/>
  <c r="BC15"/>
  <c r="BC38"/>
  <c r="AV38"/>
  <c r="AV78"/>
  <c r="BC78"/>
  <c r="AV105"/>
  <c r="BC105"/>
  <c r="AV144"/>
  <c r="BC144"/>
  <c r="BC217"/>
  <c r="AV217"/>
  <c r="AV72"/>
  <c r="BC72"/>
  <c r="AC130"/>
  <c r="AG130"/>
  <c r="AE130"/>
  <c r="BC223"/>
  <c r="AV223"/>
  <c r="BC270"/>
  <c r="AV270"/>
  <c r="AE312"/>
  <c r="AC312"/>
  <c r="AG312"/>
  <c r="BC136"/>
  <c r="AV136"/>
  <c r="AT17"/>
  <c r="BC318"/>
  <c r="C29" i="2"/>
  <c r="F29" s="1"/>
  <c r="AF138" i="1"/>
  <c r="AB138"/>
  <c r="AD138"/>
  <c r="C16" i="2" s="1"/>
  <c r="AC31" i="1"/>
  <c r="C15" i="2" s="1"/>
  <c r="AG31" i="1"/>
  <c r="AE31"/>
  <c r="AF301"/>
  <c r="AD301"/>
  <c r="AB301"/>
  <c r="BC76"/>
  <c r="AV76"/>
  <c r="AV207"/>
  <c r="BC207"/>
  <c r="AC289"/>
  <c r="AE289"/>
  <c r="AG289"/>
  <c r="AF203"/>
  <c r="AD203"/>
  <c r="AB203"/>
  <c r="AB115"/>
  <c r="AF115"/>
  <c r="AD115"/>
  <c r="AV146"/>
  <c r="BC146"/>
  <c r="AV90"/>
  <c r="BC90"/>
  <c r="AC113"/>
  <c r="AG113"/>
  <c r="C19" i="2" s="1"/>
  <c r="AE113" i="1"/>
  <c r="AC165"/>
  <c r="AG165"/>
  <c r="AE165"/>
  <c r="AV229"/>
  <c r="BC229"/>
  <c r="AF173"/>
  <c r="AD173"/>
  <c r="AB173"/>
  <c r="AG90"/>
  <c r="AC90"/>
  <c r="AE90"/>
  <c r="C17" i="2" s="1"/>
  <c r="AV20" i="1"/>
  <c r="BC20"/>
  <c r="AV177"/>
  <c r="BC177"/>
  <c r="AV221"/>
  <c r="BC221"/>
  <c r="AV303"/>
  <c r="BC303"/>
  <c r="AV239"/>
  <c r="BC239"/>
  <c r="AS52"/>
  <c r="AT305"/>
  <c r="H172"/>
  <c r="BC53"/>
  <c r="AV53"/>
  <c r="AF340"/>
  <c r="AD340"/>
  <c r="AB340"/>
  <c r="AV41"/>
  <c r="BC41"/>
  <c r="AV125"/>
  <c r="BC125"/>
  <c r="BC237"/>
  <c r="AV237"/>
  <c r="AG241"/>
  <c r="AC241"/>
  <c r="AE241"/>
  <c r="AF156"/>
  <c r="AB156"/>
  <c r="AD156"/>
  <c r="AB107"/>
  <c r="AF107"/>
  <c r="AD107"/>
  <c r="BC33"/>
  <c r="AV33"/>
  <c r="AV168"/>
  <c r="BC168"/>
  <c r="AC150"/>
  <c r="AG150"/>
  <c r="AE150"/>
  <c r="BC18"/>
  <c r="AV18"/>
  <c r="AV31"/>
  <c r="BC31"/>
  <c r="AB125"/>
  <c r="AF125"/>
  <c r="AD125"/>
  <c r="AB249"/>
  <c r="AF249"/>
  <c r="AD249"/>
  <c r="AD306"/>
  <c r="AB306"/>
  <c r="AF306"/>
  <c r="BC43"/>
  <c r="AV43"/>
  <c r="AV98"/>
  <c r="BC98"/>
  <c r="AV199"/>
  <c r="BC199"/>
  <c r="AV130"/>
  <c r="BC130"/>
  <c r="AV170"/>
  <c r="BC170"/>
  <c r="BC285"/>
  <c r="AV285"/>
  <c r="BC353"/>
  <c r="AV353"/>
  <c r="AS172"/>
  <c r="AT143"/>
  <c r="C21" i="2"/>
  <c r="AS305" i="1"/>
  <c r="AV257"/>
  <c r="BC367"/>
  <c r="AF72"/>
  <c r="C18" i="2" s="1"/>
  <c r="AB72" i="1"/>
  <c r="C14" i="2" s="1"/>
  <c r="AD72" i="1"/>
  <c r="BC115"/>
  <c r="AV115"/>
  <c r="AV278"/>
  <c r="BC278"/>
  <c r="AF141"/>
  <c r="AB141"/>
  <c r="AD141"/>
  <c r="AG199"/>
  <c r="AC199"/>
  <c r="AE199"/>
  <c r="AV275"/>
  <c r="BC275"/>
  <c r="AC168"/>
  <c r="AG168"/>
  <c r="AE168"/>
  <c r="AE215"/>
  <c r="AG215"/>
  <c r="AC215"/>
  <c r="AV243"/>
  <c r="BC243"/>
  <c r="AV219"/>
  <c r="BC219"/>
  <c r="AV138"/>
  <c r="BC138"/>
  <c r="AG219"/>
  <c r="AC219"/>
  <c r="AE219"/>
  <c r="BC249"/>
  <c r="AV249"/>
  <c r="BC321"/>
  <c r="AV321"/>
  <c r="AF345"/>
  <c r="AD345"/>
  <c r="AB345"/>
  <c r="AF275"/>
  <c r="AD275"/>
  <c r="AB275"/>
  <c r="AC118"/>
  <c r="AG118"/>
  <c r="AE118"/>
  <c r="AG144"/>
  <c r="AC144"/>
  <c r="AE144"/>
  <c r="AS160"/>
  <c r="C20" i="2"/>
  <c r="BC262" i="1"/>
  <c r="AV247"/>
  <c r="C22" i="2" l="1"/>
  <c r="I28"/>
  <c r="I29" s="1"/>
</calcChain>
</file>

<file path=xl/sharedStrings.xml><?xml version="1.0" encoding="utf-8"?>
<sst xmlns="http://schemas.openxmlformats.org/spreadsheetml/2006/main" count="2250" uniqueCount="783">
  <si>
    <t>92</t>
  </si>
  <si>
    <t>333,42;viz lešení;</t>
  </si>
  <si>
    <t>723991100VD</t>
  </si>
  <si>
    <t>Doba výstavby:</t>
  </si>
  <si>
    <t>Zatepl. syst., ostění, EPS F 30 mm s omítkou silikon, zrno 2 mm</t>
  </si>
  <si>
    <t>Projektant</t>
  </si>
  <si>
    <t>67</t>
  </si>
  <si>
    <t>Chodník z dlažby betonové, podklad štěrkodrť, dlažba 50 x 50 x 5 cm</t>
  </si>
  <si>
    <t>611551265VD</t>
  </si>
  <si>
    <t>Malby</t>
  </si>
  <si>
    <t>622318653RT1</t>
  </si>
  <si>
    <t>103</t>
  </si>
  <si>
    <t>Poplatek za uložení suti - beton, skupina odpadu 170101</t>
  </si>
  <si>
    <t>91</t>
  </si>
  <si>
    <t>1,4218</t>
  </si>
  <si>
    <t>87</t>
  </si>
  <si>
    <t>Kamila Možná</t>
  </si>
  <si>
    <t>333,42;viz montáž;</t>
  </si>
  <si>
    <t>Základ 21%</t>
  </si>
  <si>
    <t>20</t>
  </si>
  <si>
    <t>952901110R00</t>
  </si>
  <si>
    <t>Dodávka</t>
  </si>
  <si>
    <t>NUS celkem z obj.</t>
  </si>
  <si>
    <t>Omítka na stěnách silikonová, ručně, barevná, zatíraná, zrnitost 2,0 mm</t>
  </si>
  <si>
    <t>Zděř</t>
  </si>
  <si>
    <t>602011180RU7</t>
  </si>
  <si>
    <t>711</t>
  </si>
  <si>
    <t>1,745;viz zemník;</t>
  </si>
  <si>
    <t>171,65*1,05;prořez;</t>
  </si>
  <si>
    <t>72_</t>
  </si>
  <si>
    <t>17,3;B5;</t>
  </si>
  <si>
    <t>Název stavby:</t>
  </si>
  <si>
    <t>Ostatní materiál</t>
  </si>
  <si>
    <t>622473187RT2</t>
  </si>
  <si>
    <t>Doplňky zatepl. systémů, rohová lišta s okapničkou</t>
  </si>
  <si>
    <t>48</t>
  </si>
  <si>
    <t>29</t>
  </si>
  <si>
    <t>Č</t>
  </si>
  <si>
    <t>764</t>
  </si>
  <si>
    <t>941941191R00</t>
  </si>
  <si>
    <t>Nakládání výkopku z hor. 1 ÷ 4 v množství do 100 m3</t>
  </si>
  <si>
    <t>Čištění mytím vnějších ploch oken a dveří</t>
  </si>
  <si>
    <t>Poznámka:</t>
  </si>
  <si>
    <t>979990111R00</t>
  </si>
  <si>
    <t>Lokalita:</t>
  </si>
  <si>
    <t>79</t>
  </si>
  <si>
    <t>Montáž laťování střech, vzdálenost latí 22 - 36 cm včetně dodávky řeziva, latě 4/6 cm</t>
  </si>
  <si>
    <t>1;K3;</t>
  </si>
  <si>
    <t>71</t>
  </si>
  <si>
    <t>16</t>
  </si>
  <si>
    <t>PSV</t>
  </si>
  <si>
    <t>0,067</t>
  </si>
  <si>
    <t>24</t>
  </si>
  <si>
    <t>Bez pevné podl.</t>
  </si>
  <si>
    <t>Posun plynového potrubí před fasádu</t>
  </si>
  <si>
    <t>Celkem</t>
  </si>
  <si>
    <t>Zařízení staveniště</t>
  </si>
  <si>
    <t>Příplatek za každý měsíc použití sítí k pol. 4011</t>
  </si>
  <si>
    <t>711140101R00</t>
  </si>
  <si>
    <t>766_</t>
  </si>
  <si>
    <t>11_</t>
  </si>
  <si>
    <t>648991113RT4</t>
  </si>
  <si>
    <t>965200013RA0</t>
  </si>
  <si>
    <t>1_</t>
  </si>
  <si>
    <t>622421492R00</t>
  </si>
  <si>
    <t>4</t>
  </si>
  <si>
    <t>97</t>
  </si>
  <si>
    <t>121</t>
  </si>
  <si>
    <t>94</t>
  </si>
  <si>
    <t>968062356R00</t>
  </si>
  <si>
    <t>Oplechování parapetů z Al plechu</t>
  </si>
  <si>
    <t>944944081R00</t>
  </si>
  <si>
    <t>1,85974</t>
  </si>
  <si>
    <t>60</t>
  </si>
  <si>
    <t>Základní rozpočtové náklady</t>
  </si>
  <si>
    <t>113106005RAC</t>
  </si>
  <si>
    <t>49,8*0,1;prořez;</t>
  </si>
  <si>
    <t>622318736RU1</t>
  </si>
  <si>
    <t>26</t>
  </si>
  <si>
    <t>6_</t>
  </si>
  <si>
    <t>0,6;P7;</t>
  </si>
  <si>
    <t>105</t>
  </si>
  <si>
    <t>97,4*0,05</t>
  </si>
  <si>
    <t>135</t>
  </si>
  <si>
    <t>Montáž klozetu</t>
  </si>
  <si>
    <t>916661111R00</t>
  </si>
  <si>
    <t>16*2;B17;</t>
  </si>
  <si>
    <t>Montáž háků z Ti Zn půlkruhových</t>
  </si>
  <si>
    <t>3;K7;</t>
  </si>
  <si>
    <t>Potaženi vnějších podhl. sklotex. pletivo, vypnutí</t>
  </si>
  <si>
    <t>Konstrukce klempířské</t>
  </si>
  <si>
    <t>Poplatek za uložení suti - asfaltové pásy, skupina odpadu 170302</t>
  </si>
  <si>
    <t>Celkem bez DPH</t>
  </si>
  <si>
    <t>122</t>
  </si>
  <si>
    <t>2;P12;</t>
  </si>
  <si>
    <t>Vedlejší a ostatní rozpočtové náklady</t>
  </si>
  <si>
    <t>160,49;viz penetrace;</t>
  </si>
  <si>
    <t>Demontáž ocel. stojky zábradlí, úprava a zpětné osazení</t>
  </si>
  <si>
    <t>35-1,8*1,8</t>
  </si>
  <si>
    <t>0,9*1;OZ3;</t>
  </si>
  <si>
    <t>260;B18;</t>
  </si>
  <si>
    <t>138</t>
  </si>
  <si>
    <t>721_</t>
  </si>
  <si>
    <t>(19,15+11,85)*2*0,3;K1;</t>
  </si>
  <si>
    <t>Položení fólie včetně dodávky PE fólie</t>
  </si>
  <si>
    <t>012VD_</t>
  </si>
  <si>
    <t>1;K6;</t>
  </si>
  <si>
    <t>188;předpoklad;</t>
  </si>
  <si>
    <t>1;B3;</t>
  </si>
  <si>
    <t>6</t>
  </si>
  <si>
    <t>Rozpočtové náklady v Kč</t>
  </si>
  <si>
    <t>0,6;OZ2;</t>
  </si>
  <si>
    <t>68</t>
  </si>
  <si>
    <t>81</t>
  </si>
  <si>
    <t>602011191R00</t>
  </si>
  <si>
    <t>0,6;B14;</t>
  </si>
  <si>
    <t>Přesun hmot pro opravy a údržbu do výšky 6 m</t>
  </si>
  <si>
    <t>Žlaby z Ti Zn plechu, podok. půlkulaté, rš 250 mm</t>
  </si>
  <si>
    <t>28375463</t>
  </si>
  <si>
    <t>B</t>
  </si>
  <si>
    <t>119</t>
  </si>
  <si>
    <t>Náklady na umístění stavby (NUS)</t>
  </si>
  <si>
    <t>968_</t>
  </si>
  <si>
    <t>42</t>
  </si>
  <si>
    <t>Montáž bednění okapových říms z palubek pero-drážka, včetně dodávky řeziva, palubky SM tl. 19 mm</t>
  </si>
  <si>
    <t>82</t>
  </si>
  <si>
    <t>Montáž</t>
  </si>
  <si>
    <t>1,745*9;viz zemník-dovoz celkem z 10km;</t>
  </si>
  <si>
    <t>Datum, razítko a podpis</t>
  </si>
  <si>
    <t>Podkladní nátěr na stěnách pod tenkovrstvé omítky barevné</t>
  </si>
  <si>
    <t>Lapač střešních splavenin PP HL660, D 110 mm</t>
  </si>
  <si>
    <t>24-0,9*1</t>
  </si>
  <si>
    <t>776_</t>
  </si>
  <si>
    <t>ZRN celkem</t>
  </si>
  <si>
    <t>968072455R00</t>
  </si>
  <si>
    <t>632441015RT3</t>
  </si>
  <si>
    <t>611551267VD</t>
  </si>
  <si>
    <t>171,65+3,35;PVC+dlažba;</t>
  </si>
  <si>
    <t>4*2+4;B19;</t>
  </si>
  <si>
    <t>Oprava vnějších omítek vápen. hladk. II, do 20 %</t>
  </si>
  <si>
    <t>979082212R00</t>
  </si>
  <si>
    <t>999281105R00</t>
  </si>
  <si>
    <t>012VD</t>
  </si>
  <si>
    <t>979990103R00</t>
  </si>
  <si>
    <t>Předokenní roleta,viditel.box,klik.navij,180x180cm</t>
  </si>
  <si>
    <t>Montáž dveří plastových</t>
  </si>
  <si>
    <t>69</t>
  </si>
  <si>
    <t>764259615RT3</t>
  </si>
  <si>
    <t>3,35*1,1;P14 x ztratné;</t>
  </si>
  <si>
    <t>965081713RT1</t>
  </si>
  <si>
    <t>33</t>
  </si>
  <si>
    <t>Malba klih.2x - výměna výplní otvorů</t>
  </si>
  <si>
    <t>Plynovod</t>
  </si>
  <si>
    <t>Omítky ze suchých směsí</t>
  </si>
  <si>
    <t>979951111R00</t>
  </si>
  <si>
    <t>Bednění střech z prken na sraz, impregnace, prkna tloušťky 24 mm, včetně dodávky</t>
  </si>
  <si>
    <t>78</t>
  </si>
  <si>
    <t>713120080RA0</t>
  </si>
  <si>
    <t>Krycí list slepého rozpočtu</t>
  </si>
  <si>
    <t>120</t>
  </si>
  <si>
    <t>63</t>
  </si>
  <si>
    <t>Prah dubový dl. 600 mm, š. 100 mm, tl. 20 mm</t>
  </si>
  <si>
    <t>Demontáž klozetů splachovacích</t>
  </si>
  <si>
    <t>77_</t>
  </si>
  <si>
    <t>137</t>
  </si>
  <si>
    <t>Základna</t>
  </si>
  <si>
    <t>601019193R00</t>
  </si>
  <si>
    <t>25</t>
  </si>
  <si>
    <t>kus</t>
  </si>
  <si>
    <t>Odkopávky a prokopávky</t>
  </si>
  <si>
    <t>Vyčištění půdního prostoru</t>
  </si>
  <si>
    <t>Dodávky</t>
  </si>
  <si>
    <t>Demontáž prvků na fasádě</t>
  </si>
  <si>
    <t>soustava</t>
  </si>
  <si>
    <t>(18,9+11,6)*2*1,1</t>
  </si>
  <si>
    <t>Ostatní mat.</t>
  </si>
  <si>
    <t>597000002VD</t>
  </si>
  <si>
    <t>2*2+3;B19;</t>
  </si>
  <si>
    <t>130</t>
  </si>
  <si>
    <t>Cenová</t>
  </si>
  <si>
    <t>(4,9+4,3+5,3+3)*3,8</t>
  </si>
  <si>
    <t>2;B20;</t>
  </si>
  <si>
    <t>601019183RT5</t>
  </si>
  <si>
    <t>133</t>
  </si>
  <si>
    <t>Odkopávky nezapažené v hor. 4 do 100 m3</t>
  </si>
  <si>
    <t>0,9*2;DO1;</t>
  </si>
  <si>
    <t>HSV prac</t>
  </si>
  <si>
    <t>20;viz laťování;</t>
  </si>
  <si>
    <t>767_</t>
  </si>
  <si>
    <t>Vodorovná doprava suti po suchu do 50 m</t>
  </si>
  <si>
    <t>129</t>
  </si>
  <si>
    <t>19,5*1,1;viz parapety x prořez;</t>
  </si>
  <si>
    <t>767900030RAB</t>
  </si>
  <si>
    <t>13</t>
  </si>
  <si>
    <t>Montáž podlah keram.,režné hladké, tmel, 20x20 cm</t>
  </si>
  <si>
    <t>Demontáž podbití římsy z prken hrubých bez omítky</t>
  </si>
  <si>
    <t>188*2;P15-2vrstvy;</t>
  </si>
  <si>
    <t>98;polystyren;</t>
  </si>
  <si>
    <t>1,6*2;OZ2;</t>
  </si>
  <si>
    <t>RTS II/2023</t>
  </si>
  <si>
    <t>1,8*1,8*10;B9;</t>
  </si>
  <si>
    <t>766662811R00</t>
  </si>
  <si>
    <t>"M"</t>
  </si>
  <si>
    <t>Konstrukce doplňkové stavební (zámečnické)</t>
  </si>
  <si>
    <t>122301401R00</t>
  </si>
  <si>
    <t>VORN celkem z obj.</t>
  </si>
  <si>
    <t>61187156</t>
  </si>
  <si>
    <t>Vyčištění budov o výšce podlaží do 4 m</t>
  </si>
  <si>
    <t>Montáž zděře Ti Zn kruhové</t>
  </si>
  <si>
    <t>Cena/MJ</t>
  </si>
  <si>
    <t>1,8*10;OZ1;</t>
  </si>
  <si>
    <t>Konec výstavby:</t>
  </si>
  <si>
    <t>622481113R00</t>
  </si>
  <si>
    <t>55351590</t>
  </si>
  <si>
    <t>;vrátnice;</t>
  </si>
  <si>
    <t>127</t>
  </si>
  <si>
    <t>1,7*0,15;B6;</t>
  </si>
  <si>
    <t>968062244R00</t>
  </si>
  <si>
    <t>968</t>
  </si>
  <si>
    <t>Kód</t>
  </si>
  <si>
    <t>S</t>
  </si>
  <si>
    <t>43</t>
  </si>
  <si>
    <t>Přesun hmot lešení samostatně budovaného</t>
  </si>
  <si>
    <t>721242111RT1</t>
  </si>
  <si>
    <t>4+0,5;B20;</t>
  </si>
  <si>
    <t>979990105R00</t>
  </si>
  <si>
    <t>68;viz demontáž;</t>
  </si>
  <si>
    <t>Kotlík závěsný TiZn půlkulatý, 330/75 mm</t>
  </si>
  <si>
    <t>1;OZ3;</t>
  </si>
  <si>
    <t>11,1*3,6</t>
  </si>
  <si>
    <t>Zateplovací systém, sokl, XPS tl. 140 mm, omítka marmolit</t>
  </si>
  <si>
    <t>Budova Školní knihovny</t>
  </si>
  <si>
    <t>0,73948</t>
  </si>
  <si>
    <t>Ostatní přesuny hmot</t>
  </si>
  <si>
    <t>Demontáž lešení leh.řad.s podlahami,š.1 m, H 10 m</t>
  </si>
  <si>
    <t>1,8*10;P6;</t>
  </si>
  <si>
    <t>soubor</t>
  </si>
  <si>
    <t>MJ</t>
  </si>
  <si>
    <t>622421491R00</t>
  </si>
  <si>
    <t>45</t>
  </si>
  <si>
    <t>65;B22;</t>
  </si>
  <si>
    <t>40</t>
  </si>
  <si>
    <t>0,9;P10;</t>
  </si>
  <si>
    <t>Izolace tepelné volně položené</t>
  </si>
  <si>
    <t>1,8*10;B8;</t>
  </si>
  <si>
    <t>944944011R00</t>
  </si>
  <si>
    <t>1,8*10;P5;</t>
  </si>
  <si>
    <t>9_</t>
  </si>
  <si>
    <t>Celkem ORN</t>
  </si>
  <si>
    <t>Doplňující konstrukce a práce na pozemních komunikacích a zpevněných plochách</t>
  </si>
  <si>
    <t>Vybourání dřevěných rámů oken jednoduch. pl. 1 m2</t>
  </si>
  <si>
    <t>764556711R00</t>
  </si>
  <si>
    <t>Doplňkové náklady</t>
  </si>
  <si>
    <t>Doplňky zatepl. systémů, podparapetní lišta s tkan</t>
  </si>
  <si>
    <t>Osazení parapet.desek plast. a lamin. š.nad 20cm včetně dodávky desky š. 300 mm</t>
  </si>
  <si>
    <t>132</t>
  </si>
  <si>
    <t>Odstranění tepelné izolace ze sypkých hmot, lože ze škváry, tl. do 50 mm</t>
  </si>
  <si>
    <t>1;B23;</t>
  </si>
  <si>
    <t>175*1,15;P14 x prořez;</t>
  </si>
  <si>
    <t>Prah dubový dl. 800 mm, š. 100 mm, tl. 20 mm</t>
  </si>
  <si>
    <t>622319014R00</t>
  </si>
  <si>
    <t>Poplatek za uložení suti - dřevo+sklo, skupina odpadu 170904</t>
  </si>
  <si>
    <t>PSV prac</t>
  </si>
  <si>
    <t>HSV</t>
  </si>
  <si>
    <t>Žlaby z Ti Zn plechu, podok. půlkulaté, rš 330 mm</t>
  </si>
  <si>
    <t>979990161R00</t>
  </si>
  <si>
    <t>Vedlejší rozpočtové náklady VRN</t>
  </si>
  <si>
    <t>9</t>
  </si>
  <si>
    <t>2;B24;</t>
  </si>
  <si>
    <t>1;P11;</t>
  </si>
  <si>
    <t>0,9*2,15*2;B16;</t>
  </si>
  <si>
    <t>2;K1;</t>
  </si>
  <si>
    <t>0,9*2,15*2;DO1;</t>
  </si>
  <si>
    <t>Bourání dlažeb keramických tl.10 mm, nad 1 m2</t>
  </si>
  <si>
    <t>1,4;prořez;</t>
  </si>
  <si>
    <t>622904112R00</t>
  </si>
  <si>
    <t>104</t>
  </si>
  <si>
    <t>Demontáž kotlíku kónického, sklon do 30°</t>
  </si>
  <si>
    <t>15</t>
  </si>
  <si>
    <t>95</t>
  </si>
  <si>
    <t>1;B12;</t>
  </si>
  <si>
    <t>ISWORK</t>
  </si>
  <si>
    <t>Celkem včetně DPH</t>
  </si>
  <si>
    <t>711140012RAC</t>
  </si>
  <si>
    <t>Celkem NUS</t>
  </si>
  <si>
    <t>Odstranění PVC lepených</t>
  </si>
  <si>
    <t>Základ 0%</t>
  </si>
  <si>
    <t>Prah dubový dl. 900 mm, š. 100 mm, tl. 20 mm</t>
  </si>
  <si>
    <t>S_</t>
  </si>
  <si>
    <t>621481113R00</t>
  </si>
  <si>
    <t>Montáž ochranné sítě z umělých vláken</t>
  </si>
  <si>
    <t>766</t>
  </si>
  <si>
    <t>001001111VD</t>
  </si>
  <si>
    <t>4*2;K2;</t>
  </si>
  <si>
    <t>762340110RAB</t>
  </si>
  <si>
    <t>52</t>
  </si>
  <si>
    <t>10;P4;</t>
  </si>
  <si>
    <t>118</t>
  </si>
  <si>
    <t>0,6*1,6;B14;</t>
  </si>
  <si>
    <t>Příplatek za každý měsíc použití lešení k pol.1031</t>
  </si>
  <si>
    <t>3,35;P14;</t>
  </si>
  <si>
    <t>51</t>
  </si>
  <si>
    <t>2;B15;</t>
  </si>
  <si>
    <t>Přesuny sutí</t>
  </si>
  <si>
    <t>175*1,1;P14 x prořez;</t>
  </si>
  <si>
    <t>Mont prac</t>
  </si>
  <si>
    <t>44</t>
  </si>
  <si>
    <t>012111113VD</t>
  </si>
  <si>
    <t>Potěr anhydritový, plocha do 100 m2, tl. 46 mm</t>
  </si>
  <si>
    <t>786611266R00</t>
  </si>
  <si>
    <t>Příplatek k odvozu za každý další 1 km</t>
  </si>
  <si>
    <t>78_</t>
  </si>
  <si>
    <t>0,9;OZ3;</t>
  </si>
  <si>
    <t>Omítka podhledů silikonová, barevná, zatíraná, zrno 2,0 mm</t>
  </si>
  <si>
    <t>62_</t>
  </si>
  <si>
    <t>(4,7*2+0,75+0,5)*0,6;zeď u vrat;</t>
  </si>
  <si>
    <t>376*0,05;prořez;</t>
  </si>
  <si>
    <t>23</t>
  </si>
  <si>
    <t>171,65*1,1;P14 x ztratné;</t>
  </si>
  <si>
    <t>RTS II / 2023</t>
  </si>
  <si>
    <t>(14+5+5+3+3+7)*1,05</t>
  </si>
  <si>
    <t>1*2;OZ3;</t>
  </si>
  <si>
    <t>725_</t>
  </si>
  <si>
    <t>767</t>
  </si>
  <si>
    <t>Okno plastové 1800x1800mm</t>
  </si>
  <si>
    <t>128</t>
  </si>
  <si>
    <t>Město Budyně nad Ohří</t>
  </si>
  <si>
    <t>59</t>
  </si>
  <si>
    <t>998009101R00</t>
  </si>
  <si>
    <t>941941031R00</t>
  </si>
  <si>
    <t>109</t>
  </si>
  <si>
    <t>t</t>
  </si>
  <si>
    <t>117</t>
  </si>
  <si>
    <t>188;půdní prstor;</t>
  </si>
  <si>
    <t>Vyvěšení dřevěných okenních křídel pl. do 1,5 m2</t>
  </si>
  <si>
    <t> </t>
  </si>
  <si>
    <t>162701109R00</t>
  </si>
  <si>
    <t>53</t>
  </si>
  <si>
    <t>723_</t>
  </si>
  <si>
    <t>Konstrukce truhlářské</t>
  </si>
  <si>
    <t>(4,7*2+0,75+0,95)*3;zeď u vrat;</t>
  </si>
  <si>
    <t>99</t>
  </si>
  <si>
    <t>Doplňky zatepl. systémů, rohová lišta s okapničkou-římsa</t>
  </si>
  <si>
    <t>4;B19;</t>
  </si>
  <si>
    <t>107</t>
  </si>
  <si>
    <t>776521200RV2</t>
  </si>
  <si>
    <t>22;B5;</t>
  </si>
  <si>
    <t>125</t>
  </si>
  <si>
    <t>Osetí povrchu trávou včetně dodávky osiva</t>
  </si>
  <si>
    <t>1,8*1,8*10;OZ1;</t>
  </si>
  <si>
    <t>JKSO:</t>
  </si>
  <si>
    <t>(21,3+49,8)*0,5</t>
  </si>
  <si>
    <t>0,5*3*5,5+0,5*1,5</t>
  </si>
  <si>
    <t>85</t>
  </si>
  <si>
    <t>Osazení park. obrubníků do lože z C 12/15 s opěrou</t>
  </si>
  <si>
    <t>64</t>
  </si>
  <si>
    <t>vrn</t>
  </si>
  <si>
    <t>113201012RAC</t>
  </si>
  <si>
    <t>596100030RAD</t>
  </si>
  <si>
    <t>Demontáž oplechování parapetů</t>
  </si>
  <si>
    <t>713100090RA0</t>
  </si>
  <si>
    <t>44,73+54,78;viz lišty;</t>
  </si>
  <si>
    <t>764900050RA0</t>
  </si>
  <si>
    <t>721170965R00</t>
  </si>
  <si>
    <t>622319016R00</t>
  </si>
  <si>
    <t>12_</t>
  </si>
  <si>
    <t>968221115VD</t>
  </si>
  <si>
    <t>622422211R00</t>
  </si>
  <si>
    <t>77</t>
  </si>
  <si>
    <t>622319524RU1</t>
  </si>
  <si>
    <t>771575107RT2</t>
  </si>
  <si>
    <t>DN celkem</t>
  </si>
  <si>
    <t>H99_</t>
  </si>
  <si>
    <t>1,70+1,65;B25;</t>
  </si>
  <si>
    <t>012111111VD</t>
  </si>
  <si>
    <t>116</t>
  </si>
  <si>
    <t>GROUPCODE</t>
  </si>
  <si>
    <t>7,7;průchod;</t>
  </si>
  <si>
    <t>944944031R00</t>
  </si>
  <si>
    <t>Poplatek za uložení suti - stavební keramika, skupina odpadu 170103</t>
  </si>
  <si>
    <t>0</t>
  </si>
  <si>
    <t>61187176</t>
  </si>
  <si>
    <t>Provozní vlivy</t>
  </si>
  <si>
    <t>5</t>
  </si>
  <si>
    <t>162701101R00</t>
  </si>
  <si>
    <t>76_</t>
  </si>
  <si>
    <t>620991121R00</t>
  </si>
  <si>
    <t>611551266VD</t>
  </si>
  <si>
    <t>2;B4;</t>
  </si>
  <si>
    <t>Příplatek k vod. přemístění hor.1-4 za další 1 km</t>
  </si>
  <si>
    <t>4*1;K3;</t>
  </si>
  <si>
    <t>786</t>
  </si>
  <si>
    <t>632441013RT3</t>
  </si>
  <si>
    <t>Druh stavby:</t>
  </si>
  <si>
    <t>Přípravné a přidružené práce</t>
  </si>
  <si>
    <t>952901411R00</t>
  </si>
  <si>
    <t>61187116</t>
  </si>
  <si>
    <t>979990162R00</t>
  </si>
  <si>
    <t>0,85225</t>
  </si>
  <si>
    <t>784</t>
  </si>
  <si>
    <t>vybourání otvorových výplní</t>
  </si>
  <si>
    <t>96</t>
  </si>
  <si>
    <t>Vybourání kovových dveřních zárubní pl. do 2 m2</t>
  </si>
  <si>
    <t>Zpracováno dne:</t>
  </si>
  <si>
    <t>8,47;viz penetrace;</t>
  </si>
  <si>
    <t>Odpadní trouby z TiZn plechu kruhové, průměru 75 mm</t>
  </si>
  <si>
    <t>Lepení povlakových podlah z dílců PVC a CV (vinyl) včetně vinylové podlahoviny tl. 2,5 mm</t>
  </si>
  <si>
    <t>11,6*3,6</t>
  </si>
  <si>
    <t>10</t>
  </si>
  <si>
    <t>58</t>
  </si>
  <si>
    <t>Zemina</t>
  </si>
  <si>
    <t>36</t>
  </si>
  <si>
    <t>M46</t>
  </si>
  <si>
    <t>764359810R00</t>
  </si>
  <si>
    <t>7,7*1,15;průchod;</t>
  </si>
  <si>
    <t>14</t>
  </si>
  <si>
    <t>31</t>
  </si>
  <si>
    <t>Zařizovací předměty</t>
  </si>
  <si>
    <t>84</t>
  </si>
  <si>
    <t>Odstranění izolace proti vlhkosti na ploše vodorovné, asfaltové pásy přitavením, 1 vrstva</t>
  </si>
  <si>
    <t>612425931R00</t>
  </si>
  <si>
    <t>Množství</t>
  </si>
  <si>
    <t>5_</t>
  </si>
  <si>
    <t>(4,7*2+0,95+0,75)*3;zeď u vrat;</t>
  </si>
  <si>
    <t>21+55,45+14,90+36,15+11,90+13,65+11,30+7,3;B25;</t>
  </si>
  <si>
    <t>38</t>
  </si>
  <si>
    <t>Všeobecné konstrukce a práce</t>
  </si>
  <si>
    <t>65;K5;</t>
  </si>
  <si>
    <t>VORN celkem</t>
  </si>
  <si>
    <t>979990191R00</t>
  </si>
  <si>
    <t>Separační fólie PE</t>
  </si>
  <si>
    <t>Vytrhání obrubníků chodníkových a parkových</t>
  </si>
  <si>
    <t>460620006RT1</t>
  </si>
  <si>
    <t>001111131VD</t>
  </si>
  <si>
    <t>Příplatek za okenní lištu (APU) - montáž včetně dodávky lišty</t>
  </si>
  <si>
    <t>95_</t>
  </si>
  <si>
    <t>Typ skupiny</t>
  </si>
  <si>
    <t>762841811R00</t>
  </si>
  <si>
    <t>73</t>
  </si>
  <si>
    <t>63140547</t>
  </si>
  <si>
    <t>Okno plastocé 900x1000mm</t>
  </si>
  <si>
    <t>762</t>
  </si>
  <si>
    <t>Zemní práce při montážích</t>
  </si>
  <si>
    <t>979086213R00</t>
  </si>
  <si>
    <t>762_</t>
  </si>
  <si>
    <t>Provedení opravy vnitřní kanalizace, potrubí plastové, propojení dosavadního potrubí, D 110 mm</t>
  </si>
  <si>
    <t>10*0,2;P4;</t>
  </si>
  <si>
    <t>Soklová lišta hliník KZS tl. 180 mm</t>
  </si>
  <si>
    <t>61_</t>
  </si>
  <si>
    <t>56</t>
  </si>
  <si>
    <t>766695212R00</t>
  </si>
  <si>
    <t>19</t>
  </si>
  <si>
    <t>764900035RA0</t>
  </si>
  <si>
    <t>C</t>
  </si>
  <si>
    <t>622421494R00</t>
  </si>
  <si>
    <t>Náklady (Kč)</t>
  </si>
  <si>
    <t>721</t>
  </si>
  <si>
    <t>110</t>
  </si>
  <si>
    <t>39</t>
  </si>
  <si>
    <t>30</t>
  </si>
  <si>
    <t>145,9*0,15;prořez;</t>
  </si>
  <si>
    <t>IČO/DIČ:</t>
  </si>
  <si>
    <t>175;P14;</t>
  </si>
  <si>
    <t>Ostatní</t>
  </si>
  <si>
    <t>762111811R00</t>
  </si>
  <si>
    <t>0,17165</t>
  </si>
  <si>
    <t>21,3*1,1;prořez;</t>
  </si>
  <si>
    <t>86</t>
  </si>
  <si>
    <t>721242803R00</t>
  </si>
  <si>
    <t>Obrubník parkový BEST LINEA II v. 250 x 80 x 1000 mm přírodní</t>
  </si>
  <si>
    <t>979081121R00</t>
  </si>
  <si>
    <t>4*4+6*6;B9;</t>
  </si>
  <si>
    <t>Úprava polohy lapačů střešních splavenin</t>
  </si>
  <si>
    <t>55</t>
  </si>
  <si>
    <t>Podlahy povlakové</t>
  </si>
  <si>
    <t>44,0135</t>
  </si>
  <si>
    <t>725119306R00</t>
  </si>
  <si>
    <t>786_</t>
  </si>
  <si>
    <t>Zpracoval:</t>
  </si>
  <si>
    <t>0,9;P9;</t>
  </si>
  <si>
    <t>Bourání mazanin betonových</t>
  </si>
  <si>
    <t>76</t>
  </si>
  <si>
    <t>Doplňky zatepl. systémů, okenní lišta s tkaninou</t>
  </si>
  <si>
    <t>Podkladní nátěr stropů pod tenkovrstvé omítky HC 4</t>
  </si>
  <si>
    <t>64_</t>
  </si>
  <si>
    <t>1;tabulky, osvětlení;</t>
  </si>
  <si>
    <t>713121111R00</t>
  </si>
  <si>
    <t>Zhotovitel</t>
  </si>
  <si>
    <t>Demontáž kruhové zděře  D 75 a 100 mm</t>
  </si>
  <si>
    <t>Vodorovné přemístění výkopku z hor.1-4 do 6000 m</t>
  </si>
  <si>
    <t>23-1,8*1,8</t>
  </si>
  <si>
    <t>2</t>
  </si>
  <si>
    <t>Projektant:</t>
  </si>
  <si>
    <t>35,55;viz omítka ostění;</t>
  </si>
  <si>
    <t>26.02.2024</t>
  </si>
  <si>
    <t/>
  </si>
  <si>
    <t>17</t>
  </si>
  <si>
    <t>Přestřešení vchodu systémové včetně kotvení</t>
  </si>
  <si>
    <t>784433271R00</t>
  </si>
  <si>
    <t>98</t>
  </si>
  <si>
    <t>112</t>
  </si>
  <si>
    <t>Lešení a stavební výtahy</t>
  </si>
  <si>
    <t>Demontáž krytiny střech z plechů</t>
  </si>
  <si>
    <t>21</t>
  </si>
  <si>
    <t>764251401R00</t>
  </si>
  <si>
    <t>52,04811*19;odvoz celkem do 20km;</t>
  </si>
  <si>
    <t>Montáž prahů dveří jednokřídlových š. do 10 cm</t>
  </si>
  <si>
    <t>979081111R00</t>
  </si>
  <si>
    <t>Úprava povrchů vnitřní</t>
  </si>
  <si>
    <t>Práce přesčas</t>
  </si>
  <si>
    <t>723</t>
  </si>
  <si>
    <t>3;B21;</t>
  </si>
  <si>
    <t>713191100RT9</t>
  </si>
  <si>
    <t>61</t>
  </si>
  <si>
    <t>Přisekání plošné zdiva cihelného na MVC tl. 10 cm</t>
  </si>
  <si>
    <t>Okno plastové 600x1600mm</t>
  </si>
  <si>
    <t>126</t>
  </si>
  <si>
    <t>124</t>
  </si>
  <si>
    <t>764259614RT2</t>
  </si>
  <si>
    <t>12</t>
  </si>
  <si>
    <t>611551264VD</t>
  </si>
  <si>
    <t>Demontáž podokapních žlabů půlkruhových</t>
  </si>
  <si>
    <t>Kulturní památka</t>
  </si>
  <si>
    <t>Odvoz suti a vybour. hmot na skládku do 1 km</t>
  </si>
  <si>
    <t>Různé dokončovací konstrukce a práce na pozemních stavbách</t>
  </si>
  <si>
    <t>Bourání konstrukcí</t>
  </si>
  <si>
    <t>kompl</t>
  </si>
  <si>
    <t>DPH 21%</t>
  </si>
  <si>
    <t>Zatepl. mineral,fas.,desky tl. 180mm s omítkou silikon, zrno 2 mm</t>
  </si>
  <si>
    <t>Nakládání vybouraných hmot na dopravní prostředek</t>
  </si>
  <si>
    <t>968061125R00</t>
  </si>
  <si>
    <t>Lapač střešních splavenin PP HL660, D 75 mm</t>
  </si>
  <si>
    <t>134</t>
  </si>
  <si>
    <t>766629301R00</t>
  </si>
  <si>
    <t>2;K2;</t>
  </si>
  <si>
    <t>Demontáž odpadních trub kruhových, D 75 a 100 mm</t>
  </si>
  <si>
    <t>10;P13;</t>
  </si>
  <si>
    <t>764551492R00</t>
  </si>
  <si>
    <t>979990181R00</t>
  </si>
  <si>
    <t>122301101R00</t>
  </si>
  <si>
    <t>968111117VD</t>
  </si>
  <si>
    <t>(16+8+9+5+4,5+10,5)*1,05</t>
  </si>
  <si>
    <t>Prah dubový dl. 700 mm, š. 100 mm, tl. 20 mm</t>
  </si>
  <si>
    <t>175;B25;</t>
  </si>
  <si>
    <t>_</t>
  </si>
  <si>
    <t>Soklová lišta hliník KZS tl. 140 mm</t>
  </si>
  <si>
    <t>(18,9+11,6*2+16,8)*1,1</t>
  </si>
  <si>
    <t>Omítka stěn marmolit střednězrnná</t>
  </si>
  <si>
    <t>764252492R00</t>
  </si>
  <si>
    <t>49</t>
  </si>
  <si>
    <t>72</t>
  </si>
  <si>
    <t>713_</t>
  </si>
  <si>
    <t>Přesuny</t>
  </si>
  <si>
    <t>MAT</t>
  </si>
  <si>
    <t>764554410RAB</t>
  </si>
  <si>
    <t>70</t>
  </si>
  <si>
    <t>776</t>
  </si>
  <si>
    <t>8</t>
  </si>
  <si>
    <t>968221114VD</t>
  </si>
  <si>
    <t>Celkem:</t>
  </si>
  <si>
    <t>5535128520</t>
  </si>
  <si>
    <t>4;P1;</t>
  </si>
  <si>
    <t>Mimostav. doprava</t>
  </si>
  <si>
    <t>Snížení energetické náročnosti vč. rekonstrukce střechy</t>
  </si>
  <si>
    <t>0,08452</t>
  </si>
  <si>
    <t>18</t>
  </si>
  <si>
    <t>DN celkem z obj.</t>
  </si>
  <si>
    <t>Lešení lehké pomocné, výška podlahy do 1,9 m</t>
  </si>
  <si>
    <t>3;B19;</t>
  </si>
  <si>
    <t>1,8*10*2;OZ1;</t>
  </si>
  <si>
    <t>46</t>
  </si>
  <si>
    <t>764_</t>
  </si>
  <si>
    <t>713</t>
  </si>
  <si>
    <t>Demontáž dvířek elektro</t>
  </si>
  <si>
    <t>5,3*3,5*2</t>
  </si>
  <si>
    <t>Potažení vnějších stěn sklotex. pletivem, vypnutí</t>
  </si>
  <si>
    <t>71_</t>
  </si>
  <si>
    <t>10364100.A</t>
  </si>
  <si>
    <t>Úprava povrchů vnější</t>
  </si>
  <si>
    <t>Montáž tepelné izolace podlah na sucho, jednovrstvá</t>
  </si>
  <si>
    <t>100</t>
  </si>
  <si>
    <t>108</t>
  </si>
  <si>
    <t>50</t>
  </si>
  <si>
    <t>Montáž oken plastových plochy do 1,50 m2</t>
  </si>
  <si>
    <t>m</t>
  </si>
  <si>
    <t>7,7*1,1;viz potažení podhledu;</t>
  </si>
  <si>
    <t>968061112R00</t>
  </si>
  <si>
    <t>61187136</t>
  </si>
  <si>
    <t>145,9*1,1;viz potažení stěn;</t>
  </si>
  <si>
    <t>Krytina střech z Pz plechu, sklon do 30°</t>
  </si>
  <si>
    <t>(11,5*2+18,8+16,8)*1,1</t>
  </si>
  <si>
    <t>Přemístění výkopku</t>
  </si>
  <si>
    <t>11</t>
  </si>
  <si>
    <t>Základ 12%</t>
  </si>
  <si>
    <t>32</t>
  </si>
  <si>
    <t>167101101R00</t>
  </si>
  <si>
    <t>1;B2;</t>
  </si>
  <si>
    <t>14+5+5+3+3+7;sokl;</t>
  </si>
  <si>
    <t>Objednatel:</t>
  </si>
  <si>
    <t>Deska izolační XPS tl. 80 mm</t>
  </si>
  <si>
    <t>60_</t>
  </si>
  <si>
    <t>713190811R00</t>
  </si>
  <si>
    <t>764351836R00</t>
  </si>
  <si>
    <t>PSV mat</t>
  </si>
  <si>
    <t>260*0,05;prořez;</t>
  </si>
  <si>
    <t>2,63733</t>
  </si>
  <si>
    <t>0,9*1;B12;</t>
  </si>
  <si>
    <t>Izolace tepelné</t>
  </si>
  <si>
    <t>333,42*3</t>
  </si>
  <si>
    <t>4;K6;</t>
  </si>
  <si>
    <t>59217510</t>
  </si>
  <si>
    <t>622318636RT1</t>
  </si>
  <si>
    <t>Poplatek za uložení suti - plastové výrobky, skupina odpadu 170203</t>
  </si>
  <si>
    <t>3</t>
  </si>
  <si>
    <t>Demontáž stěn z hranolků, fošen nebo latí</t>
  </si>
  <si>
    <t>4;P14;</t>
  </si>
  <si>
    <t>2,15*2*2;DO1;</t>
  </si>
  <si>
    <t>711_</t>
  </si>
  <si>
    <t>-0,255;odkopávka;</t>
  </si>
  <si>
    <t>766629304R00</t>
  </si>
  <si>
    <t>102</t>
  </si>
  <si>
    <t>38,5-(1,8*1,8*4+0,9*1+0,9*1+0,6*1,6)</t>
  </si>
  <si>
    <t>Zhotovitel:</t>
  </si>
  <si>
    <t>Vykopávky v zemníku v hor. 4 do 100 m3</t>
  </si>
  <si>
    <t>(6+4,2+6,3+3)*4;vrátnice;</t>
  </si>
  <si>
    <t>%</t>
  </si>
  <si>
    <t>Poplatek za uložení suti - cihelné výrobky, skupina odpadu 170102</t>
  </si>
  <si>
    <t>Podlahy z dlaždic</t>
  </si>
  <si>
    <t>764251403R00</t>
  </si>
  <si>
    <t>M46_</t>
  </si>
  <si>
    <t>96_</t>
  </si>
  <si>
    <t>952901111R00</t>
  </si>
  <si>
    <t>0_</t>
  </si>
  <si>
    <t>784_</t>
  </si>
  <si>
    <t>35</t>
  </si>
  <si>
    <t>Dlažba dle výběru investora</t>
  </si>
  <si>
    <t>Začátek výstavby:</t>
  </si>
  <si>
    <t>Hák žlabový l = 280 mm prům 110 mm</t>
  </si>
  <si>
    <t>Montáž lešení leh.řad.s podlahami,š.do 1 m, H 10 m</t>
  </si>
  <si>
    <t>A</t>
  </si>
  <si>
    <t>622432112R00</t>
  </si>
  <si>
    <t>Mont mat</t>
  </si>
  <si>
    <t>Poplatek za uložení suti - PVC podlahová krytina, skupina odpadu 200307</t>
  </si>
  <si>
    <t>Slepý stavební rozpočet</t>
  </si>
  <si>
    <t>93</t>
  </si>
  <si>
    <t>764554410RAA</t>
  </si>
  <si>
    <t>63_</t>
  </si>
  <si>
    <t>Hák žlabový l = 320 mm prům 150 mm</t>
  </si>
  <si>
    <t>101</t>
  </si>
  <si>
    <t>Kotlík závěsný TiZn půlkulatý,330/100 mm</t>
  </si>
  <si>
    <t>75</t>
  </si>
  <si>
    <t>54</t>
  </si>
  <si>
    <t>Zakrývání výplní vnějších otvorů z lešení</t>
  </si>
  <si>
    <t xml:space="preserve"> </t>
  </si>
  <si>
    <t>16_</t>
  </si>
  <si>
    <t>136</t>
  </si>
  <si>
    <t>0,6;P8;</t>
  </si>
  <si>
    <t>11;P3;</t>
  </si>
  <si>
    <t>Demontáž háků, sklon do 30°</t>
  </si>
  <si>
    <t>764410310RAB</t>
  </si>
  <si>
    <t>123</t>
  </si>
  <si>
    <t>Poplatek za uložení - dřevo, skupina odpadu 170201</t>
  </si>
  <si>
    <t>Kryty pozemních komunikací, letišť a ploch dlážděných (předlažby)</t>
  </si>
  <si>
    <t>Objednatel</t>
  </si>
  <si>
    <t>Demontáž lapače střešních splavenin</t>
  </si>
  <si>
    <t>57</t>
  </si>
  <si>
    <t>967031732R00</t>
  </si>
  <si>
    <t>(Kč)</t>
  </si>
  <si>
    <t>188;P15;</t>
  </si>
  <si>
    <t>968095001R00</t>
  </si>
  <si>
    <t>22</t>
  </si>
  <si>
    <t>115</t>
  </si>
  <si>
    <t>16+8+9+5+4,5+10,5;mineral;</t>
  </si>
  <si>
    <t>Územní vlivy</t>
  </si>
  <si>
    <t>260;K1;</t>
  </si>
  <si>
    <t>Vyvěšení dřevěných dveřních křídel pl. do 2 m2</t>
  </si>
  <si>
    <t>m3</t>
  </si>
  <si>
    <t>725</t>
  </si>
  <si>
    <t>DPH 12%</t>
  </si>
  <si>
    <t>1;OZ2;</t>
  </si>
  <si>
    <t>Datum:</t>
  </si>
  <si>
    <t>91_</t>
  </si>
  <si>
    <t>27</t>
  </si>
  <si>
    <t>37</t>
  </si>
  <si>
    <t>80</t>
  </si>
  <si>
    <t>Zatepl.systém,fasáda, EPS F 180 mm s omítkou silikon, zrno 2 mm</t>
  </si>
  <si>
    <t>m2</t>
  </si>
  <si>
    <t>41</t>
  </si>
  <si>
    <t>59_</t>
  </si>
  <si>
    <t>Přesun hmot a sutí</t>
  </si>
  <si>
    <t>NUS z rozpočtu</t>
  </si>
  <si>
    <t>1,5+1+0,5+1;podesty schodů;</t>
  </si>
  <si>
    <t>1</t>
  </si>
  <si>
    <t>Očištění fasád tlakovou vodou složitost 1 - 2</t>
  </si>
  <si>
    <t>7</t>
  </si>
  <si>
    <t>Rozměry</t>
  </si>
  <si>
    <t>74</t>
  </si>
  <si>
    <t>Výkup kovů - železný šrot tl. do 4 mm</t>
  </si>
  <si>
    <t>Odstranění beton.dlažby vč.podkladu, pl.do 50 m2</t>
  </si>
  <si>
    <t>Položek:</t>
  </si>
  <si>
    <t>NUS celkem</t>
  </si>
  <si>
    <t>Podlahy a podlahové konstrukce</t>
  </si>
  <si>
    <t>WORK</t>
  </si>
  <si>
    <t>131</t>
  </si>
  <si>
    <t>52,04811</t>
  </si>
  <si>
    <t>Odpadní trouby z TiZn plechu kruhové, průměru 100 mm</t>
  </si>
  <si>
    <t>83</t>
  </si>
  <si>
    <t>Vybourání dřevěných rámů oken dvojitých pl. 4 m2</t>
  </si>
  <si>
    <t>771_</t>
  </si>
  <si>
    <t>Výplně otvorů</t>
  </si>
  <si>
    <t>2;B16;</t>
  </si>
  <si>
    <t>114</t>
  </si>
  <si>
    <t>Ostatní rozpočtové náklady ORN</t>
  </si>
  <si>
    <t>9;viz montáž;</t>
  </si>
  <si>
    <t>Demontáž prahů dveří 1křídlových</t>
  </si>
  <si>
    <t>941955002R00</t>
  </si>
  <si>
    <t>47</t>
  </si>
  <si>
    <t>Omítka vápenná vnitřního ostění - štuková</t>
  </si>
  <si>
    <t>HSV mat</t>
  </si>
  <si>
    <t>Kč</t>
  </si>
  <si>
    <t>776511810RT3</t>
  </si>
  <si>
    <t>764310010RAA</t>
  </si>
  <si>
    <t>9;viz demontáž;</t>
  </si>
  <si>
    <t>979990121R00</t>
  </si>
  <si>
    <t>2;DO1;</t>
  </si>
  <si>
    <t>66</t>
  </si>
  <si>
    <t>725110811R00</t>
  </si>
  <si>
    <t>Dveře plastové 900x2150mm</t>
  </si>
  <si>
    <t>Potěr anhydritový, plocha do 100 m2, tl. 40 mm</t>
  </si>
  <si>
    <t>38,13;viz zykrývání výplní;</t>
  </si>
  <si>
    <t>Celkem VRN</t>
  </si>
  <si>
    <t>0,6;B13;</t>
  </si>
  <si>
    <t>(17+1)*3,8</t>
  </si>
  <si>
    <t>60,22154</t>
  </si>
  <si>
    <t>Demontáž ochranné sítě z umělých vláken</t>
  </si>
  <si>
    <t>0,9;B10;</t>
  </si>
  <si>
    <t>Konstrukce tesařské</t>
  </si>
  <si>
    <t>H99</t>
  </si>
  <si>
    <t>(18,5+12+7,3+3+10,9)*0,15;B1;</t>
  </si>
  <si>
    <t>90</t>
  </si>
  <si>
    <t>26,75*0,05;ztratné;</t>
  </si>
  <si>
    <t>89</t>
  </si>
  <si>
    <t>0,6*1,6;OZ2;</t>
  </si>
  <si>
    <t>Ostatní rozpočtové náklady (ORN)</t>
  </si>
  <si>
    <t>Celkem DN</t>
  </si>
  <si>
    <t>Bourání parapetů dřevěných š. do 25 cm</t>
  </si>
  <si>
    <t>88</t>
  </si>
  <si>
    <t>0,5*1;K4;</t>
  </si>
  <si>
    <t>(21,3+49,8)*0,2</t>
  </si>
  <si>
    <t>Zkrácený popis</t>
  </si>
  <si>
    <t>28</t>
  </si>
  <si>
    <t>111</t>
  </si>
  <si>
    <t>767991106VD</t>
  </si>
  <si>
    <t>762341620RT3</t>
  </si>
  <si>
    <t>771</t>
  </si>
  <si>
    <t>CELK</t>
  </si>
  <si>
    <t>10;OZ1;</t>
  </si>
  <si>
    <t>113</t>
  </si>
  <si>
    <t>106</t>
  </si>
  <si>
    <t>94_</t>
  </si>
  <si>
    <t>65</t>
  </si>
  <si>
    <t>VATTAX</t>
  </si>
  <si>
    <t>Demontáž přestřešení vchodů</t>
  </si>
  <si>
    <t>34</t>
  </si>
  <si>
    <t>62</t>
  </si>
  <si>
    <t>Doplňkové náklady DN</t>
  </si>
  <si>
    <t>Čalounické úpravy</t>
  </si>
  <si>
    <t>st.p.č. 386/3 Budyně nad Ohří</t>
  </si>
  <si>
    <t>3,5+0,5+0,5+0,6+0,7+0,6+0,4+3,2+5,3*0,6*2;vrátnice;</t>
  </si>
  <si>
    <t>0,9;B11;</t>
  </si>
  <si>
    <t>Deska izolační minerální tl. 140 mm, součinitel tepelné vodivosti 0,038 W/mK</t>
  </si>
  <si>
    <t>762342203RT4</t>
  </si>
  <si>
    <t>Izolace proti vodě</t>
  </si>
  <si>
    <t>(19+1)*3,6</t>
  </si>
  <si>
    <t>188*1,15;P15 x prořez;</t>
  </si>
  <si>
    <t>721242111R00</t>
  </si>
  <si>
    <t>Izolace proti vodě vodorovná přitavená, 1x ALP, 1x Bitagit 40 Al mineral</t>
  </si>
  <si>
    <t>764454801R00</t>
  </si>
  <si>
    <t>941941831R00</t>
  </si>
  <si>
    <t>175*0,07;B25;</t>
  </si>
  <si>
    <t>1;K4;</t>
  </si>
  <si>
    <t>22;P3;</t>
  </si>
  <si>
    <t>Vnitřní kanalizace</t>
  </si>
</sst>
</file>

<file path=xl/styles.xml><?xml version="1.0" encoding="utf-8"?>
<styleSheet xmlns="http://schemas.openxmlformats.org/spreadsheetml/2006/main">
  <fonts count="12">
    <font>
      <sz val="8"/>
      <name val="Arial"/>
    </font>
    <font>
      <sz val="11"/>
      <name val="Calibri"/>
    </font>
    <font>
      <sz val="12"/>
      <color rgb="FF000000"/>
      <name val="Arial"/>
      <charset val="238"/>
    </font>
    <font>
      <b/>
      <sz val="10"/>
      <color rgb="FF000000"/>
      <name val="Arial"/>
      <charset val="238"/>
    </font>
    <font>
      <b/>
      <sz val="12"/>
      <color rgb="FF000000"/>
      <name val="Arial"/>
      <charset val="238"/>
    </font>
    <font>
      <sz val="10"/>
      <color rgb="FF000000"/>
      <name val="Arial"/>
      <charset val="238"/>
    </font>
    <font>
      <i/>
      <sz val="8"/>
      <color rgb="FF000000"/>
      <name val="Arial"/>
      <charset val="238"/>
    </font>
    <font>
      <i/>
      <sz val="10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sz val="18"/>
      <color rgb="FF000000"/>
      <name val="Arial"/>
      <charset val="238"/>
    </font>
    <font>
      <b/>
      <sz val="18"/>
      <color rgb="FF00000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9"/>
      </patternFill>
    </fill>
  </fills>
  <borders count="34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28">
    <xf numFmtId="0" fontId="1" fillId="0" borderId="0" xfId="0" applyNumberFormat="1" applyFont="1" applyFill="1" applyBorder="1" applyAlignment="1" applyProtection="1"/>
    <xf numFmtId="4" fontId="2" fillId="0" borderId="2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/>
    </xf>
    <xf numFmtId="4" fontId="2" fillId="0" borderId="9" xfId="0" applyNumberFormat="1" applyFont="1" applyFill="1" applyBorder="1" applyAlignment="1" applyProtection="1">
      <alignment horizontal="right" vertical="center"/>
    </xf>
    <xf numFmtId="4" fontId="5" fillId="0" borderId="10" xfId="0" applyNumberFormat="1" applyFont="1" applyFill="1" applyBorder="1" applyAlignment="1" applyProtection="1">
      <alignment horizontal="right" vertical="center"/>
    </xf>
    <xf numFmtId="0" fontId="4" fillId="0" borderId="12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left" vertical="center"/>
    </xf>
    <xf numFmtId="0" fontId="3" fillId="0" borderId="18" xfId="0" applyNumberFormat="1" applyFont="1" applyFill="1" applyBorder="1" applyAlignment="1" applyProtection="1">
      <alignment horizontal="center" vertical="center"/>
    </xf>
    <xf numFmtId="0" fontId="5" fillId="2" borderId="0" xfId="0" applyNumberFormat="1" applyFont="1" applyFill="1" applyBorder="1" applyAlignment="1" applyProtection="1">
      <alignment horizontal="left" vertical="center"/>
    </xf>
    <xf numFmtId="0" fontId="5" fillId="0" borderId="19" xfId="0" applyNumberFormat="1" applyFont="1" applyFill="1" applyBorder="1" applyAlignment="1" applyProtection="1">
      <alignment horizontal="left" vertical="center"/>
    </xf>
    <xf numFmtId="0" fontId="1" fillId="0" borderId="2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right" vertical="center"/>
    </xf>
    <xf numFmtId="0" fontId="8" fillId="2" borderId="2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center" vertical="center"/>
    </xf>
    <xf numFmtId="0" fontId="5" fillId="0" borderId="21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right" vertical="center"/>
    </xf>
    <xf numFmtId="0" fontId="3" fillId="0" borderId="9" xfId="0" applyNumberFormat="1" applyFont="1" applyFill="1" applyBorder="1" applyAlignment="1" applyProtection="1">
      <alignment horizontal="center" vertical="center"/>
    </xf>
    <xf numFmtId="0" fontId="5" fillId="0" borderId="23" xfId="0" applyNumberFormat="1" applyFont="1" applyFill="1" applyBorder="1" applyAlignment="1" applyProtection="1">
      <alignment horizontal="left" vertical="center"/>
    </xf>
    <xf numFmtId="4" fontId="2" fillId="0" borderId="20" xfId="0" applyNumberFormat="1" applyFont="1" applyFill="1" applyBorder="1" applyAlignment="1" applyProtection="1">
      <alignment horizontal="right" vertical="center"/>
    </xf>
    <xf numFmtId="0" fontId="5" fillId="0" borderId="10" xfId="0" applyNumberFormat="1" applyFont="1" applyFill="1" applyBorder="1" applyAlignment="1" applyProtection="1">
      <alignment horizontal="right" vertical="center"/>
    </xf>
    <xf numFmtId="0" fontId="5" fillId="2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right" vertical="center"/>
    </xf>
    <xf numFmtId="0" fontId="5" fillId="0" borderId="10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5" fillId="2" borderId="19" xfId="0" applyNumberFormat="1" applyFont="1" applyFill="1" applyBorder="1" applyAlignment="1" applyProtection="1">
      <alignment horizontal="left" vertical="center"/>
    </xf>
    <xf numFmtId="0" fontId="4" fillId="0" borderId="26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5" fillId="0" borderId="17" xfId="0" applyNumberFormat="1" applyFont="1" applyFill="1" applyBorder="1" applyAlignment="1" applyProtection="1">
      <alignment horizontal="left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4" fontId="3" fillId="2" borderId="0" xfId="0" applyNumberFormat="1" applyFont="1" applyFill="1" applyBorder="1" applyAlignment="1" applyProtection="1">
      <alignment horizontal="right" vertical="center"/>
    </xf>
    <xf numFmtId="0" fontId="8" fillId="2" borderId="29" xfId="0" applyNumberFormat="1" applyFont="1" applyFill="1" applyBorder="1" applyAlignment="1" applyProtection="1">
      <alignment horizontal="center" vertical="center"/>
    </xf>
    <xf numFmtId="0" fontId="5" fillId="2" borderId="19" xfId="0" applyNumberFormat="1" applyFont="1" applyFill="1" applyBorder="1" applyAlignment="1" applyProtection="1">
      <alignment horizontal="left" vertical="center"/>
    </xf>
    <xf numFmtId="0" fontId="5" fillId="0" borderId="2" xfId="0" applyNumberFormat="1" applyFont="1" applyFill="1" applyBorder="1" applyAlignment="1" applyProtection="1">
      <alignment horizontal="right" vertical="center"/>
    </xf>
    <xf numFmtId="0" fontId="3" fillId="0" borderId="30" xfId="0" applyNumberFormat="1" applyFont="1" applyFill="1" applyBorder="1" applyAlignment="1" applyProtection="1">
      <alignment horizontal="lef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0" fontId="3" fillId="0" borderId="8" xfId="0" applyNumberFormat="1" applyFont="1" applyFill="1" applyBorder="1" applyAlignment="1" applyProtection="1">
      <alignment horizontal="right" vertical="center"/>
    </xf>
    <xf numFmtId="4" fontId="7" fillId="0" borderId="0" xfId="0" applyNumberFormat="1" applyFont="1" applyFill="1" applyBorder="1" applyAlignment="1" applyProtection="1">
      <alignment horizontal="right" vertical="center"/>
    </xf>
    <xf numFmtId="4" fontId="4" fillId="2" borderId="10" xfId="0" applyNumberFormat="1" applyFont="1" applyFill="1" applyBorder="1" applyAlignment="1" applyProtection="1">
      <alignment horizontal="right" vertical="center"/>
    </xf>
    <xf numFmtId="0" fontId="1" fillId="0" borderId="19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4" fontId="4" fillId="2" borderId="20" xfId="0" applyNumberFormat="1" applyFont="1" applyFill="1" applyBorder="1" applyAlignment="1" applyProtection="1">
      <alignment horizontal="right" vertical="center"/>
    </xf>
    <xf numFmtId="0" fontId="2" fillId="0" borderId="10" xfId="0" applyNumberFormat="1" applyFont="1" applyFill="1" applyBorder="1" applyAlignment="1" applyProtection="1">
      <alignment horizontal="right" vertical="center"/>
    </xf>
    <xf numFmtId="4" fontId="5" fillId="0" borderId="17" xfId="0" applyNumberFormat="1" applyFont="1" applyFill="1" applyBorder="1" applyAlignment="1" applyProtection="1">
      <alignment horizontal="right" vertical="center"/>
    </xf>
    <xf numFmtId="4" fontId="2" fillId="0" borderId="10" xfId="0" applyNumberFormat="1" applyFont="1" applyFill="1" applyBorder="1" applyAlignment="1" applyProtection="1">
      <alignment horizontal="right" vertical="center"/>
    </xf>
    <xf numFmtId="0" fontId="2" fillId="0" borderId="2" xfId="0" applyNumberFormat="1" applyFont="1" applyFill="1" applyBorder="1" applyAlignment="1" applyProtection="1">
      <alignment horizontal="right" vertical="center"/>
    </xf>
    <xf numFmtId="0" fontId="5" fillId="0" borderId="9" xfId="0" applyNumberFormat="1" applyFont="1" applyFill="1" applyBorder="1" applyAlignment="1" applyProtection="1">
      <alignment horizontal="left" vertical="center"/>
    </xf>
    <xf numFmtId="0" fontId="3" fillId="0" borderId="33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5" fillId="0" borderId="16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/>
    </xf>
    <xf numFmtId="0" fontId="5" fillId="0" borderId="19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5" fillId="0" borderId="19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3" fillId="0" borderId="15" xfId="0" applyNumberFormat="1" applyFont="1" applyFill="1" applyBorder="1" applyAlignment="1" applyProtection="1">
      <alignment horizontal="left" vertical="center" wrapText="1"/>
    </xf>
    <xf numFmtId="0" fontId="3" fillId="0" borderId="1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5" fillId="0" borderId="7" xfId="0" applyNumberFormat="1" applyFont="1" applyFill="1" applyBorder="1" applyAlignment="1" applyProtection="1">
      <alignment horizontal="left" vertical="center"/>
    </xf>
    <xf numFmtId="0" fontId="5" fillId="0" borderId="2" xfId="0" applyNumberFormat="1" applyFont="1" applyFill="1" applyBorder="1" applyAlignment="1" applyProtection="1">
      <alignment horizontal="left" vertical="center"/>
    </xf>
    <xf numFmtId="0" fontId="3" fillId="0" borderId="18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3" fillId="0" borderId="27" xfId="0" applyNumberFormat="1" applyFont="1" applyFill="1" applyBorder="1" applyAlignment="1" applyProtection="1">
      <alignment horizontal="center" vertical="center"/>
    </xf>
    <xf numFmtId="0" fontId="3" fillId="0" borderId="28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3" fillId="2" borderId="0" xfId="0" applyNumberFormat="1" applyFont="1" applyFill="1" applyBorder="1" applyAlignment="1" applyProtection="1">
      <alignment horizontal="left" vertical="center"/>
    </xf>
    <xf numFmtId="0" fontId="5" fillId="0" borderId="17" xfId="0" applyNumberFormat="1" applyFont="1" applyFill="1" applyBorder="1" applyAlignment="1" applyProtection="1">
      <alignment horizontal="left" vertical="center" wrapText="1"/>
    </xf>
    <xf numFmtId="0" fontId="5" fillId="0" borderId="17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5" fillId="0" borderId="23" xfId="0" applyNumberFormat="1" applyFont="1" applyFill="1" applyBorder="1" applyAlignment="1" applyProtection="1">
      <alignment horizontal="left" vertical="center"/>
    </xf>
    <xf numFmtId="1" fontId="5" fillId="0" borderId="2" xfId="0" applyNumberFormat="1" applyFont="1" applyFill="1" applyBorder="1" applyAlignment="1" applyProtection="1">
      <alignment horizontal="left" vertical="center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1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9" fillId="0" borderId="22" xfId="0" applyNumberFormat="1" applyFont="1" applyFill="1" applyBorder="1" applyAlignment="1" applyProtection="1">
      <alignment horizontal="left" vertical="center"/>
    </xf>
    <xf numFmtId="0" fontId="9" fillId="0" borderId="20" xfId="0" applyNumberFormat="1" applyFont="1" applyFill="1" applyBorder="1" applyAlignment="1" applyProtection="1">
      <alignment horizontal="left" vertical="center"/>
    </xf>
    <xf numFmtId="0" fontId="4" fillId="0" borderId="23" xfId="0" applyNumberFormat="1" applyFont="1" applyFill="1" applyBorder="1" applyAlignment="1" applyProtection="1">
      <alignment horizontal="left" vertical="center"/>
    </xf>
    <xf numFmtId="0" fontId="4" fillId="0" borderId="10" xfId="0" applyNumberFormat="1" applyFont="1" applyFill="1" applyBorder="1" applyAlignment="1" applyProtection="1">
      <alignment horizontal="left" vertical="center"/>
    </xf>
    <xf numFmtId="0" fontId="4" fillId="0" borderId="19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13" xfId="0" applyNumberFormat="1" applyFont="1" applyFill="1" applyBorder="1" applyAlignment="1" applyProtection="1">
      <alignment horizontal="left" vertical="center"/>
    </xf>
    <xf numFmtId="0" fontId="4" fillId="0" borderId="20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0" fontId="4" fillId="0" borderId="22" xfId="0" applyNumberFormat="1" applyFont="1" applyFill="1" applyBorder="1" applyAlignment="1" applyProtection="1">
      <alignment horizontal="left" vertical="center"/>
    </xf>
    <xf numFmtId="0" fontId="4" fillId="0" borderId="17" xfId="0" applyNumberFormat="1" applyFont="1" applyFill="1" applyBorder="1" applyAlignment="1" applyProtection="1">
      <alignment horizontal="left" vertical="center"/>
    </xf>
    <xf numFmtId="0" fontId="4" fillId="2" borderId="13" xfId="0" applyNumberFormat="1" applyFont="1" applyFill="1" applyBorder="1" applyAlignment="1" applyProtection="1">
      <alignment horizontal="left" vertical="center"/>
    </xf>
    <xf numFmtId="0" fontId="4" fillId="2" borderId="22" xfId="0" applyNumberFormat="1" applyFont="1" applyFill="1" applyBorder="1" applyAlignment="1" applyProtection="1">
      <alignment horizontal="left" vertical="center"/>
    </xf>
    <xf numFmtId="0" fontId="4" fillId="2" borderId="23" xfId="0" applyNumberFormat="1" applyFont="1" applyFill="1" applyBorder="1" applyAlignment="1" applyProtection="1">
      <alignment horizontal="left" vertical="center"/>
    </xf>
    <xf numFmtId="0" fontId="4" fillId="2" borderId="17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0" fontId="2" fillId="0" borderId="18" xfId="0" applyNumberFormat="1" applyFont="1" applyFill="1" applyBorder="1" applyAlignment="1" applyProtection="1">
      <alignment horizontal="left" vertical="center"/>
    </xf>
    <xf numFmtId="0" fontId="2" fillId="0" borderId="24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32" xfId="0" applyNumberFormat="1" applyFont="1" applyFill="1" applyBorder="1" applyAlignment="1" applyProtection="1">
      <alignment horizontal="left" vertical="center"/>
    </xf>
    <xf numFmtId="0" fontId="2" fillId="0" borderId="31" xfId="0" applyNumberFormat="1" applyFont="1" applyFill="1" applyBorder="1" applyAlignment="1" applyProtection="1">
      <alignment horizontal="left" vertical="center"/>
    </xf>
    <xf numFmtId="0" fontId="2" fillId="0" borderId="14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3" fillId="0" borderId="27" xfId="0" applyNumberFormat="1" applyFont="1" applyFill="1" applyBorder="1" applyAlignment="1" applyProtection="1">
      <alignment horizontal="left"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25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4" fillId="0" borderId="25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 vertical="center"/>
    </xf>
    <xf numFmtId="4" fontId="4" fillId="0" borderId="3" xfId="0" applyNumberFormat="1" applyFont="1" applyFill="1" applyBorder="1" applyAlignment="1" applyProtection="1">
      <alignment horizontal="right" vertical="center"/>
    </xf>
    <xf numFmtId="0" fontId="4" fillId="0" borderId="3" xfId="0" applyNumberFormat="1" applyFont="1" applyFill="1" applyBorder="1" applyAlignment="1" applyProtection="1">
      <alignment horizontal="right" vertical="center"/>
    </xf>
    <xf numFmtId="0" fontId="4" fillId="0" borderId="4" xfId="0" applyNumberFormat="1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400050</xdr:colOff>
      <xdr:row>0</xdr:row>
      <xdr:rowOff>666750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 w="9525">
          <a:prstDash val="solid"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57150</xdr:colOff>
      <xdr:row>0</xdr:row>
      <xdr:rowOff>666750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 w="9525">
          <a:prstDash val="solid"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57150</xdr:colOff>
      <xdr:row>0</xdr:row>
      <xdr:rowOff>666750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 w="9525">
          <a:prstDash val="solid"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BW374"/>
  <sheetViews>
    <sheetView tabSelected="1" showOutlineSymbols="0" workbookViewId="0">
      <pane ySplit="11" topLeftCell="A12" activePane="bottomLeft" state="frozenSplit"/>
      <selection activeCell="A374" sqref="A374:K374"/>
      <selection pane="bottomLeft" sqref="A1:K1"/>
    </sheetView>
  </sheetViews>
  <sheetFormatPr defaultColWidth="14.1640625" defaultRowHeight="15" customHeight="1"/>
  <cols>
    <col min="1" max="1" width="4.6640625"/>
    <col min="2" max="2" width="20.83203125"/>
    <col min="3" max="3" width="50"/>
    <col min="4" max="4" width="41.6640625"/>
    <col min="5" max="5" width="7.5"/>
    <col min="6" max="6" width="15"/>
    <col min="7" max="7" width="14"/>
    <col min="8" max="10" width="18.33203125"/>
    <col min="11" max="11" width="15.6640625"/>
    <col min="25" max="75" width="14.1640625" hidden="1"/>
  </cols>
  <sheetData>
    <row r="1" spans="1:75" ht="54.75" customHeight="1">
      <c r="A1" s="59" t="s">
        <v>643</v>
      </c>
      <c r="B1" s="59"/>
      <c r="C1" s="59"/>
      <c r="D1" s="59"/>
      <c r="E1" s="59"/>
      <c r="F1" s="59"/>
      <c r="G1" s="59"/>
      <c r="H1" s="59"/>
      <c r="I1" s="59"/>
      <c r="J1" s="59"/>
      <c r="K1" s="59"/>
      <c r="AS1" s="11">
        <f>SUM(AJ1:AJ2)</f>
        <v>0</v>
      </c>
      <c r="AT1" s="11">
        <f>SUM(AK1:AK2)</f>
        <v>0</v>
      </c>
      <c r="AU1" s="11">
        <f>SUM(AL1:AL2)</f>
        <v>0</v>
      </c>
    </row>
    <row r="2" spans="1:75" ht="15" customHeight="1">
      <c r="A2" s="60" t="s">
        <v>31</v>
      </c>
      <c r="B2" s="61"/>
      <c r="C2" s="67" t="s">
        <v>563</v>
      </c>
      <c r="D2" s="68"/>
      <c r="E2" s="61" t="s">
        <v>3</v>
      </c>
      <c r="F2" s="61"/>
      <c r="G2" s="61" t="s">
        <v>653</v>
      </c>
      <c r="H2" s="65" t="s">
        <v>598</v>
      </c>
      <c r="I2" s="65" t="s">
        <v>326</v>
      </c>
      <c r="J2" s="61"/>
      <c r="K2" s="70"/>
    </row>
    <row r="3" spans="1:75" ht="15" customHeight="1">
      <c r="A3" s="62"/>
      <c r="B3" s="63"/>
      <c r="C3" s="69"/>
      <c r="D3" s="69"/>
      <c r="E3" s="63"/>
      <c r="F3" s="63"/>
      <c r="G3" s="63"/>
      <c r="H3" s="63"/>
      <c r="I3" s="63"/>
      <c r="J3" s="63"/>
      <c r="K3" s="71"/>
    </row>
    <row r="4" spans="1:75" ht="15" customHeight="1">
      <c r="A4" s="64" t="s">
        <v>393</v>
      </c>
      <c r="B4" s="63"/>
      <c r="C4" s="66" t="s">
        <v>231</v>
      </c>
      <c r="D4" s="63"/>
      <c r="E4" s="63" t="s">
        <v>636</v>
      </c>
      <c r="F4" s="63"/>
      <c r="G4" s="63" t="s">
        <v>494</v>
      </c>
      <c r="H4" s="66" t="s">
        <v>492</v>
      </c>
      <c r="I4" s="66" t="s">
        <v>16</v>
      </c>
      <c r="J4" s="63"/>
      <c r="K4" s="71"/>
    </row>
    <row r="5" spans="1:75" ht="15" customHeight="1">
      <c r="A5" s="62"/>
      <c r="B5" s="63"/>
      <c r="C5" s="63"/>
      <c r="D5" s="63"/>
      <c r="E5" s="63"/>
      <c r="F5" s="63"/>
      <c r="G5" s="63"/>
      <c r="H5" s="63"/>
      <c r="I5" s="63"/>
      <c r="J5" s="63"/>
      <c r="K5" s="71"/>
    </row>
    <row r="6" spans="1:75" ht="15" customHeight="1">
      <c r="A6" s="64" t="s">
        <v>44</v>
      </c>
      <c r="B6" s="63"/>
      <c r="C6" s="66" t="s">
        <v>767</v>
      </c>
      <c r="D6" s="63"/>
      <c r="E6" s="63" t="s">
        <v>211</v>
      </c>
      <c r="F6" s="63"/>
      <c r="G6" s="63" t="s">
        <v>653</v>
      </c>
      <c r="H6" s="66" t="s">
        <v>622</v>
      </c>
      <c r="I6" s="63" t="s">
        <v>335</v>
      </c>
      <c r="J6" s="63"/>
      <c r="K6" s="71"/>
    </row>
    <row r="7" spans="1:75" ht="15" customHeight="1">
      <c r="A7" s="62"/>
      <c r="B7" s="63"/>
      <c r="C7" s="63"/>
      <c r="D7" s="63"/>
      <c r="E7" s="63"/>
      <c r="F7" s="63"/>
      <c r="G7" s="63"/>
      <c r="H7" s="63"/>
      <c r="I7" s="63"/>
      <c r="J7" s="63"/>
      <c r="K7" s="71"/>
    </row>
    <row r="8" spans="1:75" ht="15" customHeight="1">
      <c r="A8" s="64" t="s">
        <v>350</v>
      </c>
      <c r="B8" s="63"/>
      <c r="C8" s="66" t="s">
        <v>653</v>
      </c>
      <c r="D8" s="63"/>
      <c r="E8" s="63" t="s">
        <v>403</v>
      </c>
      <c r="F8" s="63"/>
      <c r="G8" s="63" t="s">
        <v>494</v>
      </c>
      <c r="H8" s="66" t="s">
        <v>478</v>
      </c>
      <c r="I8" s="66" t="s">
        <v>16</v>
      </c>
      <c r="J8" s="63"/>
      <c r="K8" s="71"/>
    </row>
    <row r="9" spans="1:75" ht="15" customHeight="1">
      <c r="A9" s="62"/>
      <c r="B9" s="63"/>
      <c r="C9" s="63"/>
      <c r="D9" s="63"/>
      <c r="E9" s="63"/>
      <c r="F9" s="63"/>
      <c r="G9" s="63"/>
      <c r="H9" s="63"/>
      <c r="I9" s="63"/>
      <c r="J9" s="63"/>
      <c r="K9" s="71"/>
    </row>
    <row r="10" spans="1:75" ht="15" customHeight="1">
      <c r="A10" s="44" t="s">
        <v>37</v>
      </c>
      <c r="B10" s="29" t="s">
        <v>219</v>
      </c>
      <c r="C10" s="72" t="s">
        <v>749</v>
      </c>
      <c r="D10" s="73"/>
      <c r="E10" s="29" t="s">
        <v>237</v>
      </c>
      <c r="F10" s="5" t="s">
        <v>421</v>
      </c>
      <c r="G10" s="13" t="s">
        <v>209</v>
      </c>
      <c r="H10" s="76" t="s">
        <v>455</v>
      </c>
      <c r="I10" s="77"/>
      <c r="J10" s="78"/>
      <c r="K10" s="5" t="s">
        <v>179</v>
      </c>
      <c r="BK10" s="22" t="s">
        <v>281</v>
      </c>
      <c r="BL10" s="2" t="s">
        <v>376</v>
      </c>
      <c r="BW10" s="2" t="s">
        <v>761</v>
      </c>
    </row>
    <row r="11" spans="1:75" ht="15" customHeight="1">
      <c r="A11" s="21" t="s">
        <v>653</v>
      </c>
      <c r="B11" s="57" t="s">
        <v>653</v>
      </c>
      <c r="C11" s="74" t="s">
        <v>695</v>
      </c>
      <c r="D11" s="75"/>
      <c r="E11" s="57" t="s">
        <v>653</v>
      </c>
      <c r="F11" s="57" t="s">
        <v>653</v>
      </c>
      <c r="G11" s="20" t="s">
        <v>667</v>
      </c>
      <c r="H11" s="58" t="s">
        <v>21</v>
      </c>
      <c r="I11" s="23" t="s">
        <v>126</v>
      </c>
      <c r="J11" s="51" t="s">
        <v>55</v>
      </c>
      <c r="K11" s="23" t="s">
        <v>173</v>
      </c>
      <c r="Z11" s="22" t="s">
        <v>552</v>
      </c>
      <c r="AA11" s="22" t="s">
        <v>436</v>
      </c>
      <c r="AB11" s="22" t="s">
        <v>718</v>
      </c>
      <c r="AC11" s="22" t="s">
        <v>186</v>
      </c>
      <c r="AD11" s="22" t="s">
        <v>603</v>
      </c>
      <c r="AE11" s="22" t="s">
        <v>262</v>
      </c>
      <c r="AF11" s="22" t="s">
        <v>641</v>
      </c>
      <c r="AG11" s="22" t="s">
        <v>305</v>
      </c>
      <c r="AH11" s="22" t="s">
        <v>175</v>
      </c>
      <c r="BH11" s="22" t="s">
        <v>553</v>
      </c>
      <c r="BI11" s="22" t="s">
        <v>702</v>
      </c>
      <c r="BJ11" s="22" t="s">
        <v>755</v>
      </c>
    </row>
    <row r="12" spans="1:75" ht="15" customHeight="1">
      <c r="A12" s="33" t="s">
        <v>495</v>
      </c>
      <c r="B12" s="19" t="s">
        <v>380</v>
      </c>
      <c r="C12" s="79" t="s">
        <v>426</v>
      </c>
      <c r="D12" s="80"/>
      <c r="E12" s="14" t="s">
        <v>653</v>
      </c>
      <c r="F12" s="14" t="s">
        <v>653</v>
      </c>
      <c r="G12" s="14" t="s">
        <v>653</v>
      </c>
      <c r="H12" s="40">
        <f>SUM(H13:H15)</f>
        <v>0</v>
      </c>
      <c r="I12" s="40">
        <f>SUM(I13:I15)</f>
        <v>0</v>
      </c>
      <c r="J12" s="40">
        <f>SUM(J13:J15)</f>
        <v>0</v>
      </c>
      <c r="K12" s="17" t="s">
        <v>495</v>
      </c>
      <c r="AI12" s="22" t="s">
        <v>495</v>
      </c>
      <c r="AS12" s="11">
        <f>SUM(AJ13:AJ15)</f>
        <v>0</v>
      </c>
      <c r="AT12" s="11">
        <f>SUM(AK13:AK15)</f>
        <v>0</v>
      </c>
      <c r="AU12" s="11">
        <f>SUM(AL13:AL15)</f>
        <v>0</v>
      </c>
    </row>
    <row r="13" spans="1:75" ht="13.5" customHeight="1">
      <c r="A13" s="15" t="s">
        <v>692</v>
      </c>
      <c r="B13" s="4" t="s">
        <v>433</v>
      </c>
      <c r="C13" s="66" t="s">
        <v>172</v>
      </c>
      <c r="D13" s="63"/>
      <c r="E13" s="4" t="s">
        <v>526</v>
      </c>
      <c r="F13" s="45">
        <v>1</v>
      </c>
      <c r="G13" s="45">
        <v>0</v>
      </c>
      <c r="H13" s="45">
        <f>F13*AO13</f>
        <v>0</v>
      </c>
      <c r="I13" s="45">
        <f>F13*AP13</f>
        <v>0</v>
      </c>
      <c r="J13" s="45">
        <f>F13*G13</f>
        <v>0</v>
      </c>
      <c r="K13" s="43" t="s">
        <v>495</v>
      </c>
      <c r="Z13" s="45">
        <f>IF(AQ13="5",BJ13,0)</f>
        <v>0</v>
      </c>
      <c r="AB13" s="45">
        <f>IF(AQ13="1",BH13,0)</f>
        <v>0</v>
      </c>
      <c r="AC13" s="45">
        <f>IF(AQ13="1",BI13,0)</f>
        <v>0</v>
      </c>
      <c r="AD13" s="45">
        <f>IF(AQ13="7",BH13,0)</f>
        <v>0</v>
      </c>
      <c r="AE13" s="45">
        <f>IF(AQ13="7",BI13,0)</f>
        <v>0</v>
      </c>
      <c r="AF13" s="45">
        <f>IF(AQ13="2",BH13,0)</f>
        <v>0</v>
      </c>
      <c r="AG13" s="45">
        <f>IF(AQ13="2",BI13,0)</f>
        <v>0</v>
      </c>
      <c r="AH13" s="45">
        <f>IF(AQ13="0",BJ13,0)</f>
        <v>0</v>
      </c>
      <c r="AI13" s="22" t="s">
        <v>495</v>
      </c>
      <c r="AJ13" s="45">
        <f>IF(AN13=0,J13,0)</f>
        <v>0</v>
      </c>
      <c r="AK13" s="45">
        <f>IF(AN13=12,J13,0)</f>
        <v>0</v>
      </c>
      <c r="AL13" s="45">
        <f>IF(AN13=21,J13,0)</f>
        <v>0</v>
      </c>
      <c r="AN13" s="45">
        <v>21</v>
      </c>
      <c r="AO13" s="45">
        <f>G13*0</f>
        <v>0</v>
      </c>
      <c r="AP13" s="45">
        <f>G13*(1-0)</f>
        <v>0</v>
      </c>
      <c r="AQ13" s="28" t="s">
        <v>692</v>
      </c>
      <c r="AV13" s="45">
        <f>AW13+AX13</f>
        <v>0</v>
      </c>
      <c r="AW13" s="45">
        <f>F13*AO13</f>
        <v>0</v>
      </c>
      <c r="AX13" s="45">
        <f>F13*AP13</f>
        <v>0</v>
      </c>
      <c r="AY13" s="28" t="s">
        <v>632</v>
      </c>
      <c r="AZ13" s="28" t="s">
        <v>632</v>
      </c>
      <c r="BA13" s="22" t="s">
        <v>544</v>
      </c>
      <c r="BC13" s="45">
        <f>AW13+AX13</f>
        <v>0</v>
      </c>
      <c r="BD13" s="45">
        <f>G13/(100-BE13)*100</f>
        <v>0</v>
      </c>
      <c r="BE13" s="45">
        <v>0</v>
      </c>
      <c r="BF13" s="45">
        <f>13</f>
        <v>13</v>
      </c>
      <c r="BH13" s="45">
        <f>F13*AO13</f>
        <v>0</v>
      </c>
      <c r="BI13" s="45">
        <f>F13*AP13</f>
        <v>0</v>
      </c>
      <c r="BJ13" s="45">
        <f>F13*G13</f>
        <v>0</v>
      </c>
      <c r="BK13" s="45"/>
      <c r="BL13" s="45">
        <v>0</v>
      </c>
      <c r="BW13" s="45">
        <v>21</v>
      </c>
    </row>
    <row r="14" spans="1:75" ht="15" customHeight="1">
      <c r="A14" s="49"/>
      <c r="C14" s="12" t="s">
        <v>485</v>
      </c>
      <c r="D14" s="12" t="s">
        <v>495</v>
      </c>
      <c r="F14" s="47">
        <v>1</v>
      </c>
      <c r="K14" s="16"/>
    </row>
    <row r="15" spans="1:75" ht="13.5" customHeight="1">
      <c r="A15" s="15" t="s">
        <v>491</v>
      </c>
      <c r="B15" s="4" t="s">
        <v>292</v>
      </c>
      <c r="C15" s="66" t="s">
        <v>472</v>
      </c>
      <c r="D15" s="63"/>
      <c r="E15" s="4" t="s">
        <v>168</v>
      </c>
      <c r="F15" s="45">
        <v>3</v>
      </c>
      <c r="G15" s="45">
        <v>0</v>
      </c>
      <c r="H15" s="45">
        <f>F15*AO15</f>
        <v>0</v>
      </c>
      <c r="I15" s="45">
        <f>F15*AP15</f>
        <v>0</v>
      </c>
      <c r="J15" s="45">
        <f>F15*G15</f>
        <v>0</v>
      </c>
      <c r="K15" s="43" t="s">
        <v>495</v>
      </c>
      <c r="Z15" s="45">
        <f>IF(AQ15="5",BJ15,0)</f>
        <v>0</v>
      </c>
      <c r="AB15" s="45">
        <f>IF(AQ15="1",BH15,0)</f>
        <v>0</v>
      </c>
      <c r="AC15" s="45">
        <f>IF(AQ15="1",BI15,0)</f>
        <v>0</v>
      </c>
      <c r="AD15" s="45">
        <f>IF(AQ15="7",BH15,0)</f>
        <v>0</v>
      </c>
      <c r="AE15" s="45">
        <f>IF(AQ15="7",BI15,0)</f>
        <v>0</v>
      </c>
      <c r="AF15" s="45">
        <f>IF(AQ15="2",BH15,0)</f>
        <v>0</v>
      </c>
      <c r="AG15" s="45">
        <f>IF(AQ15="2",BI15,0)</f>
        <v>0</v>
      </c>
      <c r="AH15" s="45">
        <f>IF(AQ15="0",BJ15,0)</f>
        <v>0</v>
      </c>
      <c r="AI15" s="22" t="s">
        <v>495</v>
      </c>
      <c r="AJ15" s="45">
        <f>IF(AN15=0,J15,0)</f>
        <v>0</v>
      </c>
      <c r="AK15" s="45">
        <f>IF(AN15=12,J15,0)</f>
        <v>0</v>
      </c>
      <c r="AL15" s="45">
        <f>IF(AN15=21,J15,0)</f>
        <v>0</v>
      </c>
      <c r="AN15" s="45">
        <v>21</v>
      </c>
      <c r="AO15" s="45">
        <f>G15*0.285714285714286</f>
        <v>0</v>
      </c>
      <c r="AP15" s="45">
        <f>G15*(1-0.285714285714286)</f>
        <v>0</v>
      </c>
      <c r="AQ15" s="28" t="s">
        <v>692</v>
      </c>
      <c r="AV15" s="45">
        <f>AW15+AX15</f>
        <v>0</v>
      </c>
      <c r="AW15" s="45">
        <f>F15*AO15</f>
        <v>0</v>
      </c>
      <c r="AX15" s="45">
        <f>F15*AP15</f>
        <v>0</v>
      </c>
      <c r="AY15" s="28" t="s">
        <v>632</v>
      </c>
      <c r="AZ15" s="28" t="s">
        <v>632</v>
      </c>
      <c r="BA15" s="22" t="s">
        <v>544</v>
      </c>
      <c r="BC15" s="45">
        <f>AW15+AX15</f>
        <v>0</v>
      </c>
      <c r="BD15" s="45">
        <f>G15/(100-BE15)*100</f>
        <v>0</v>
      </c>
      <c r="BE15" s="45">
        <v>0</v>
      </c>
      <c r="BF15" s="45">
        <f>15</f>
        <v>15</v>
      </c>
      <c r="BH15" s="45">
        <f>F15*AO15</f>
        <v>0</v>
      </c>
      <c r="BI15" s="45">
        <f>F15*AP15</f>
        <v>0</v>
      </c>
      <c r="BJ15" s="45">
        <f>F15*G15</f>
        <v>0</v>
      </c>
      <c r="BK15" s="45"/>
      <c r="BL15" s="45">
        <v>0</v>
      </c>
      <c r="BW15" s="45">
        <v>21</v>
      </c>
    </row>
    <row r="16" spans="1:75" ht="15" customHeight="1">
      <c r="A16" s="49"/>
      <c r="C16" s="12" t="s">
        <v>613</v>
      </c>
      <c r="D16" s="12" t="s">
        <v>495</v>
      </c>
      <c r="F16" s="47">
        <v>3.0000000000000004</v>
      </c>
      <c r="K16" s="16"/>
    </row>
    <row r="17" spans="1:75" ht="15" customHeight="1">
      <c r="A17" s="42" t="s">
        <v>495</v>
      </c>
      <c r="B17" s="39" t="s">
        <v>592</v>
      </c>
      <c r="C17" s="79" t="s">
        <v>394</v>
      </c>
      <c r="D17" s="80"/>
      <c r="E17" s="27" t="s">
        <v>653</v>
      </c>
      <c r="F17" s="27" t="s">
        <v>653</v>
      </c>
      <c r="G17" s="27" t="s">
        <v>653</v>
      </c>
      <c r="H17" s="11">
        <f>SUM(H18:H20)</f>
        <v>0</v>
      </c>
      <c r="I17" s="11">
        <f>SUM(I18:I20)</f>
        <v>0</v>
      </c>
      <c r="J17" s="11">
        <f>SUM(J18:J20)</f>
        <v>0</v>
      </c>
      <c r="K17" s="50" t="s">
        <v>495</v>
      </c>
      <c r="AI17" s="22" t="s">
        <v>495</v>
      </c>
      <c r="AS17" s="11">
        <f>SUM(AJ18:AJ20)</f>
        <v>0</v>
      </c>
      <c r="AT17" s="11">
        <f>SUM(AK18:AK20)</f>
        <v>0</v>
      </c>
      <c r="AU17" s="11">
        <f>SUM(AL18:AL20)</f>
        <v>0</v>
      </c>
    </row>
    <row r="18" spans="1:75" ht="13.5" customHeight="1">
      <c r="A18" s="15" t="s">
        <v>613</v>
      </c>
      <c r="B18" s="4" t="s">
        <v>75</v>
      </c>
      <c r="C18" s="66" t="s">
        <v>698</v>
      </c>
      <c r="D18" s="63"/>
      <c r="E18" s="4" t="s">
        <v>686</v>
      </c>
      <c r="F18" s="45">
        <v>22</v>
      </c>
      <c r="G18" s="45">
        <v>0</v>
      </c>
      <c r="H18" s="45">
        <f>F18*AO18</f>
        <v>0</v>
      </c>
      <c r="I18" s="45">
        <f>F18*AP18</f>
        <v>0</v>
      </c>
      <c r="J18" s="45">
        <f>F18*G18</f>
        <v>0</v>
      </c>
      <c r="K18" s="43" t="s">
        <v>319</v>
      </c>
      <c r="Z18" s="45">
        <f>IF(AQ18="5",BJ18,0)</f>
        <v>0</v>
      </c>
      <c r="AB18" s="45">
        <f>IF(AQ18="1",BH18,0)</f>
        <v>0</v>
      </c>
      <c r="AC18" s="45">
        <f>IF(AQ18="1",BI18,0)</f>
        <v>0</v>
      </c>
      <c r="AD18" s="45">
        <f>IF(AQ18="7",BH18,0)</f>
        <v>0</v>
      </c>
      <c r="AE18" s="45">
        <f>IF(AQ18="7",BI18,0)</f>
        <v>0</v>
      </c>
      <c r="AF18" s="45">
        <f>IF(AQ18="2",BH18,0)</f>
        <v>0</v>
      </c>
      <c r="AG18" s="45">
        <f>IF(AQ18="2",BI18,0)</f>
        <v>0</v>
      </c>
      <c r="AH18" s="45">
        <f>IF(AQ18="0",BJ18,0)</f>
        <v>0</v>
      </c>
      <c r="AI18" s="22" t="s">
        <v>495</v>
      </c>
      <c r="AJ18" s="45">
        <f>IF(AN18=0,J18,0)</f>
        <v>0</v>
      </c>
      <c r="AK18" s="45">
        <f>IF(AN18=12,J18,0)</f>
        <v>0</v>
      </c>
      <c r="AL18" s="45">
        <f>IF(AN18=21,J18,0)</f>
        <v>0</v>
      </c>
      <c r="AN18" s="45">
        <v>21</v>
      </c>
      <c r="AO18" s="45">
        <f>G18*0</f>
        <v>0</v>
      </c>
      <c r="AP18" s="45">
        <f>G18*(1-0)</f>
        <v>0</v>
      </c>
      <c r="AQ18" s="28" t="s">
        <v>692</v>
      </c>
      <c r="AV18" s="45">
        <f>AW18+AX18</f>
        <v>0</v>
      </c>
      <c r="AW18" s="45">
        <f>F18*AO18</f>
        <v>0</v>
      </c>
      <c r="AX18" s="45">
        <f>F18*AP18</f>
        <v>0</v>
      </c>
      <c r="AY18" s="28" t="s">
        <v>60</v>
      </c>
      <c r="AZ18" s="28" t="s">
        <v>63</v>
      </c>
      <c r="BA18" s="22" t="s">
        <v>544</v>
      </c>
      <c r="BC18" s="45">
        <f>AW18+AX18</f>
        <v>0</v>
      </c>
      <c r="BD18" s="45">
        <f>G18/(100-BE18)*100</f>
        <v>0</v>
      </c>
      <c r="BE18" s="45">
        <v>0</v>
      </c>
      <c r="BF18" s="45">
        <f>18</f>
        <v>18</v>
      </c>
      <c r="BH18" s="45">
        <f>F18*AO18</f>
        <v>0</v>
      </c>
      <c r="BI18" s="45">
        <f>F18*AP18</f>
        <v>0</v>
      </c>
      <c r="BJ18" s="45">
        <f>F18*G18</f>
        <v>0</v>
      </c>
      <c r="BK18" s="45"/>
      <c r="BL18" s="45">
        <v>11</v>
      </c>
      <c r="BW18" s="45">
        <v>21</v>
      </c>
    </row>
    <row r="19" spans="1:75" ht="15" customHeight="1">
      <c r="A19" s="49"/>
      <c r="C19" s="12" t="s">
        <v>346</v>
      </c>
      <c r="D19" s="12" t="s">
        <v>495</v>
      </c>
      <c r="F19" s="47">
        <v>22.000000000000004</v>
      </c>
      <c r="K19" s="16"/>
    </row>
    <row r="20" spans="1:75" ht="13.5" customHeight="1">
      <c r="A20" s="15" t="s">
        <v>65</v>
      </c>
      <c r="B20" s="4" t="s">
        <v>357</v>
      </c>
      <c r="C20" s="66" t="s">
        <v>431</v>
      </c>
      <c r="D20" s="63"/>
      <c r="E20" s="4" t="s">
        <v>584</v>
      </c>
      <c r="F20" s="45">
        <v>17.3</v>
      </c>
      <c r="G20" s="45">
        <v>0</v>
      </c>
      <c r="H20" s="45">
        <f>F20*AO20</f>
        <v>0</v>
      </c>
      <c r="I20" s="45">
        <f>F20*AP20</f>
        <v>0</v>
      </c>
      <c r="J20" s="45">
        <f>F20*G20</f>
        <v>0</v>
      </c>
      <c r="K20" s="43" t="s">
        <v>319</v>
      </c>
      <c r="Z20" s="45">
        <f>IF(AQ20="5",BJ20,0)</f>
        <v>0</v>
      </c>
      <c r="AB20" s="45">
        <f>IF(AQ20="1",BH20,0)</f>
        <v>0</v>
      </c>
      <c r="AC20" s="45">
        <f>IF(AQ20="1",BI20,0)</f>
        <v>0</v>
      </c>
      <c r="AD20" s="45">
        <f>IF(AQ20="7",BH20,0)</f>
        <v>0</v>
      </c>
      <c r="AE20" s="45">
        <f>IF(AQ20="7",BI20,0)</f>
        <v>0</v>
      </c>
      <c r="AF20" s="45">
        <f>IF(AQ20="2",BH20,0)</f>
        <v>0</v>
      </c>
      <c r="AG20" s="45">
        <f>IF(AQ20="2",BI20,0)</f>
        <v>0</v>
      </c>
      <c r="AH20" s="45">
        <f>IF(AQ20="0",BJ20,0)</f>
        <v>0</v>
      </c>
      <c r="AI20" s="22" t="s">
        <v>495</v>
      </c>
      <c r="AJ20" s="45">
        <f>IF(AN20=0,J20,0)</f>
        <v>0</v>
      </c>
      <c r="AK20" s="45">
        <f>IF(AN20=12,J20,0)</f>
        <v>0</v>
      </c>
      <c r="AL20" s="45">
        <f>IF(AN20=21,J20,0)</f>
        <v>0</v>
      </c>
      <c r="AN20" s="45">
        <v>21</v>
      </c>
      <c r="AO20" s="45">
        <f>G20*0</f>
        <v>0</v>
      </c>
      <c r="AP20" s="45">
        <f>G20*(1-0)</f>
        <v>0</v>
      </c>
      <c r="AQ20" s="28" t="s">
        <v>692</v>
      </c>
      <c r="AV20" s="45">
        <f>AW20+AX20</f>
        <v>0</v>
      </c>
      <c r="AW20" s="45">
        <f>F20*AO20</f>
        <v>0</v>
      </c>
      <c r="AX20" s="45">
        <f>F20*AP20</f>
        <v>0</v>
      </c>
      <c r="AY20" s="28" t="s">
        <v>60</v>
      </c>
      <c r="AZ20" s="28" t="s">
        <v>63</v>
      </c>
      <c r="BA20" s="22" t="s">
        <v>544</v>
      </c>
      <c r="BC20" s="45">
        <f>AW20+AX20</f>
        <v>0</v>
      </c>
      <c r="BD20" s="45">
        <f>G20/(100-BE20)*100</f>
        <v>0</v>
      </c>
      <c r="BE20" s="45">
        <v>0</v>
      </c>
      <c r="BF20" s="45">
        <f>20</f>
        <v>20</v>
      </c>
      <c r="BH20" s="45">
        <f>F20*AO20</f>
        <v>0</v>
      </c>
      <c r="BI20" s="45">
        <f>F20*AP20</f>
        <v>0</v>
      </c>
      <c r="BJ20" s="45">
        <f>F20*G20</f>
        <v>0</v>
      </c>
      <c r="BK20" s="45"/>
      <c r="BL20" s="45">
        <v>11</v>
      </c>
      <c r="BW20" s="45">
        <v>21</v>
      </c>
    </row>
    <row r="21" spans="1:75" ht="15" customHeight="1">
      <c r="A21" s="49"/>
      <c r="C21" s="12" t="s">
        <v>30</v>
      </c>
      <c r="D21" s="12" t="s">
        <v>495</v>
      </c>
      <c r="F21" s="47">
        <v>17.3</v>
      </c>
      <c r="K21" s="16"/>
    </row>
    <row r="22" spans="1:75" ht="15" customHeight="1">
      <c r="A22" s="42" t="s">
        <v>495</v>
      </c>
      <c r="B22" s="39" t="s">
        <v>519</v>
      </c>
      <c r="C22" s="79" t="s">
        <v>169</v>
      </c>
      <c r="D22" s="80"/>
      <c r="E22" s="27" t="s">
        <v>653</v>
      </c>
      <c r="F22" s="27" t="s">
        <v>653</v>
      </c>
      <c r="G22" s="27" t="s">
        <v>653</v>
      </c>
      <c r="H22" s="11">
        <f>SUM(H23:H28)</f>
        <v>0</v>
      </c>
      <c r="I22" s="11">
        <f>SUM(I23:I28)</f>
        <v>0</v>
      </c>
      <c r="J22" s="11">
        <f>SUM(J23:J28)</f>
        <v>0</v>
      </c>
      <c r="K22" s="50" t="s">
        <v>495</v>
      </c>
      <c r="AI22" s="22" t="s">
        <v>495</v>
      </c>
      <c r="AS22" s="11">
        <f>SUM(AJ23:AJ28)</f>
        <v>0</v>
      </c>
      <c r="AT22" s="11">
        <f>SUM(AK23:AK28)</f>
        <v>0</v>
      </c>
      <c r="AU22" s="11">
        <f>SUM(AL23:AL28)</f>
        <v>0</v>
      </c>
    </row>
    <row r="23" spans="1:75" ht="13.5" customHeight="1">
      <c r="A23" s="15" t="s">
        <v>383</v>
      </c>
      <c r="B23" s="4" t="s">
        <v>539</v>
      </c>
      <c r="C23" s="66" t="s">
        <v>184</v>
      </c>
      <c r="D23" s="63"/>
      <c r="E23" s="4" t="s">
        <v>676</v>
      </c>
      <c r="F23" s="45">
        <v>0.255</v>
      </c>
      <c r="G23" s="45">
        <v>0</v>
      </c>
      <c r="H23" s="45">
        <f>F23*AO23</f>
        <v>0</v>
      </c>
      <c r="I23" s="45">
        <f>F23*AP23</f>
        <v>0</v>
      </c>
      <c r="J23" s="45">
        <f>F23*G23</f>
        <v>0</v>
      </c>
      <c r="K23" s="43" t="s">
        <v>319</v>
      </c>
      <c r="Z23" s="45">
        <f>IF(AQ23="5",BJ23,0)</f>
        <v>0</v>
      </c>
      <c r="AB23" s="45">
        <f>IF(AQ23="1",BH23,0)</f>
        <v>0</v>
      </c>
      <c r="AC23" s="45">
        <f>IF(AQ23="1",BI23,0)</f>
        <v>0</v>
      </c>
      <c r="AD23" s="45">
        <f>IF(AQ23="7",BH23,0)</f>
        <v>0</v>
      </c>
      <c r="AE23" s="45">
        <f>IF(AQ23="7",BI23,0)</f>
        <v>0</v>
      </c>
      <c r="AF23" s="45">
        <f>IF(AQ23="2",BH23,0)</f>
        <v>0</v>
      </c>
      <c r="AG23" s="45">
        <f>IF(AQ23="2",BI23,0)</f>
        <v>0</v>
      </c>
      <c r="AH23" s="45">
        <f>IF(AQ23="0",BJ23,0)</f>
        <v>0</v>
      </c>
      <c r="AI23" s="22" t="s">
        <v>495</v>
      </c>
      <c r="AJ23" s="45">
        <f>IF(AN23=0,J23,0)</f>
        <v>0</v>
      </c>
      <c r="AK23" s="45">
        <f>IF(AN23=12,J23,0)</f>
        <v>0</v>
      </c>
      <c r="AL23" s="45">
        <f>IF(AN23=21,J23,0)</f>
        <v>0</v>
      </c>
      <c r="AN23" s="45">
        <v>21</v>
      </c>
      <c r="AO23" s="45">
        <f>G23*0</f>
        <v>0</v>
      </c>
      <c r="AP23" s="45">
        <f>G23*(1-0)</f>
        <v>0</v>
      </c>
      <c r="AQ23" s="28" t="s">
        <v>692</v>
      </c>
      <c r="AV23" s="45">
        <f>AW23+AX23</f>
        <v>0</v>
      </c>
      <c r="AW23" s="45">
        <f>F23*AO23</f>
        <v>0</v>
      </c>
      <c r="AX23" s="45">
        <f>F23*AP23</f>
        <v>0</v>
      </c>
      <c r="AY23" s="28" t="s">
        <v>365</v>
      </c>
      <c r="AZ23" s="28" t="s">
        <v>63</v>
      </c>
      <c r="BA23" s="22" t="s">
        <v>544</v>
      </c>
      <c r="BC23" s="45">
        <f>AW23+AX23</f>
        <v>0</v>
      </c>
      <c r="BD23" s="45">
        <f>G23/(100-BE23)*100</f>
        <v>0</v>
      </c>
      <c r="BE23" s="45">
        <v>0</v>
      </c>
      <c r="BF23" s="45">
        <f>23</f>
        <v>23</v>
      </c>
      <c r="BH23" s="45">
        <f>F23*AO23</f>
        <v>0</v>
      </c>
      <c r="BI23" s="45">
        <f>F23*AP23</f>
        <v>0</v>
      </c>
      <c r="BJ23" s="45">
        <f>F23*G23</f>
        <v>0</v>
      </c>
      <c r="BK23" s="45"/>
      <c r="BL23" s="45">
        <v>12</v>
      </c>
      <c r="BW23" s="45">
        <v>21</v>
      </c>
    </row>
    <row r="24" spans="1:75" ht="15" customHeight="1">
      <c r="A24" s="49"/>
      <c r="C24" s="12" t="s">
        <v>216</v>
      </c>
      <c r="D24" s="12" t="s">
        <v>495</v>
      </c>
      <c r="F24" s="47">
        <v>0.255</v>
      </c>
      <c r="K24" s="16"/>
    </row>
    <row r="25" spans="1:75" ht="13.5" customHeight="1">
      <c r="A25" s="15" t="s">
        <v>109</v>
      </c>
      <c r="B25" s="4" t="s">
        <v>204</v>
      </c>
      <c r="C25" s="66" t="s">
        <v>623</v>
      </c>
      <c r="D25" s="63"/>
      <c r="E25" s="4" t="s">
        <v>676</v>
      </c>
      <c r="F25" s="45">
        <v>1.7450000000000001</v>
      </c>
      <c r="G25" s="45">
        <v>0</v>
      </c>
      <c r="H25" s="45">
        <f>F25*AO25</f>
        <v>0</v>
      </c>
      <c r="I25" s="45">
        <f>F25*AP25</f>
        <v>0</v>
      </c>
      <c r="J25" s="45">
        <f>F25*G25</f>
        <v>0</v>
      </c>
      <c r="K25" s="43" t="s">
        <v>319</v>
      </c>
      <c r="Z25" s="45">
        <f>IF(AQ25="5",BJ25,0)</f>
        <v>0</v>
      </c>
      <c r="AB25" s="45">
        <f>IF(AQ25="1",BH25,0)</f>
        <v>0</v>
      </c>
      <c r="AC25" s="45">
        <f>IF(AQ25="1",BI25,0)</f>
        <v>0</v>
      </c>
      <c r="AD25" s="45">
        <f>IF(AQ25="7",BH25,0)</f>
        <v>0</v>
      </c>
      <c r="AE25" s="45">
        <f>IF(AQ25="7",BI25,0)</f>
        <v>0</v>
      </c>
      <c r="AF25" s="45">
        <f>IF(AQ25="2",BH25,0)</f>
        <v>0</v>
      </c>
      <c r="AG25" s="45">
        <f>IF(AQ25="2",BI25,0)</f>
        <v>0</v>
      </c>
      <c r="AH25" s="45">
        <f>IF(AQ25="0",BJ25,0)</f>
        <v>0</v>
      </c>
      <c r="AI25" s="22" t="s">
        <v>495</v>
      </c>
      <c r="AJ25" s="45">
        <f>IF(AN25=0,J25,0)</f>
        <v>0</v>
      </c>
      <c r="AK25" s="45">
        <f>IF(AN25=12,J25,0)</f>
        <v>0</v>
      </c>
      <c r="AL25" s="45">
        <f>IF(AN25=21,J25,0)</f>
        <v>0</v>
      </c>
      <c r="AN25" s="45">
        <v>21</v>
      </c>
      <c r="AO25" s="45">
        <f>G25*0</f>
        <v>0</v>
      </c>
      <c r="AP25" s="45">
        <f>G25*(1-0)</f>
        <v>0</v>
      </c>
      <c r="AQ25" s="28" t="s">
        <v>692</v>
      </c>
      <c r="AV25" s="45">
        <f>AW25+AX25</f>
        <v>0</v>
      </c>
      <c r="AW25" s="45">
        <f>F25*AO25</f>
        <v>0</v>
      </c>
      <c r="AX25" s="45">
        <f>F25*AP25</f>
        <v>0</v>
      </c>
      <c r="AY25" s="28" t="s">
        <v>365</v>
      </c>
      <c r="AZ25" s="28" t="s">
        <v>63</v>
      </c>
      <c r="BA25" s="22" t="s">
        <v>544</v>
      </c>
      <c r="BC25" s="45">
        <f>AW25+AX25</f>
        <v>0</v>
      </c>
      <c r="BD25" s="45">
        <f>G25/(100-BE25)*100</f>
        <v>0</v>
      </c>
      <c r="BE25" s="45">
        <v>0</v>
      </c>
      <c r="BF25" s="45">
        <f>25</f>
        <v>25</v>
      </c>
      <c r="BH25" s="45">
        <f>F25*AO25</f>
        <v>0</v>
      </c>
      <c r="BI25" s="45">
        <f>F25*AP25</f>
        <v>0</v>
      </c>
      <c r="BJ25" s="45">
        <f>F25*G25</f>
        <v>0</v>
      </c>
      <c r="BK25" s="45"/>
      <c r="BL25" s="45">
        <v>12</v>
      </c>
      <c r="BW25" s="45">
        <v>21</v>
      </c>
    </row>
    <row r="26" spans="1:75" ht="15" customHeight="1">
      <c r="A26" s="49"/>
      <c r="C26" s="12" t="s">
        <v>446</v>
      </c>
      <c r="D26" s="12" t="s">
        <v>495</v>
      </c>
      <c r="F26" s="47">
        <v>2</v>
      </c>
      <c r="K26" s="16"/>
    </row>
    <row r="27" spans="1:75" ht="15" customHeight="1">
      <c r="A27" s="49"/>
      <c r="C27" s="12" t="s">
        <v>618</v>
      </c>
      <c r="D27" s="12" t="s">
        <v>495</v>
      </c>
      <c r="F27" s="47">
        <v>-0.255</v>
      </c>
      <c r="K27" s="16"/>
    </row>
    <row r="28" spans="1:75" ht="13.5" customHeight="1">
      <c r="A28" s="15" t="s">
        <v>694</v>
      </c>
      <c r="B28" s="4" t="s">
        <v>577</v>
      </c>
      <c r="C28" s="66" t="s">
        <v>410</v>
      </c>
      <c r="D28" s="63"/>
      <c r="E28" s="4" t="s">
        <v>676</v>
      </c>
      <c r="F28" s="45">
        <v>1.7450000000000001</v>
      </c>
      <c r="G28" s="45">
        <v>0</v>
      </c>
      <c r="H28" s="45">
        <f>F28*AO28</f>
        <v>0</v>
      </c>
      <c r="I28" s="45">
        <f>F28*AP28</f>
        <v>0</v>
      </c>
      <c r="J28" s="45">
        <f>F28*G28</f>
        <v>0</v>
      </c>
      <c r="K28" s="43" t="s">
        <v>319</v>
      </c>
      <c r="Z28" s="45">
        <f>IF(AQ28="5",BJ28,0)</f>
        <v>0</v>
      </c>
      <c r="AB28" s="45">
        <f>IF(AQ28="1",BH28,0)</f>
        <v>0</v>
      </c>
      <c r="AC28" s="45">
        <f>IF(AQ28="1",BI28,0)</f>
        <v>0</v>
      </c>
      <c r="AD28" s="45">
        <f>IF(AQ28="7",BH28,0)</f>
        <v>0</v>
      </c>
      <c r="AE28" s="45">
        <f>IF(AQ28="7",BI28,0)</f>
        <v>0</v>
      </c>
      <c r="AF28" s="45">
        <f>IF(AQ28="2",BH28,0)</f>
        <v>0</v>
      </c>
      <c r="AG28" s="45">
        <f>IF(AQ28="2",BI28,0)</f>
        <v>0</v>
      </c>
      <c r="AH28" s="45">
        <f>IF(AQ28="0",BJ28,0)</f>
        <v>0</v>
      </c>
      <c r="AI28" s="22" t="s">
        <v>495</v>
      </c>
      <c r="AJ28" s="45">
        <f>IF(AN28=0,J28,0)</f>
        <v>0</v>
      </c>
      <c r="AK28" s="45">
        <f>IF(AN28=12,J28,0)</f>
        <v>0</v>
      </c>
      <c r="AL28" s="45">
        <f>IF(AN28=21,J28,0)</f>
        <v>0</v>
      </c>
      <c r="AN28" s="45">
        <v>21</v>
      </c>
      <c r="AO28" s="45">
        <f>G28*1</f>
        <v>0</v>
      </c>
      <c r="AP28" s="45">
        <f>G28*(1-1)</f>
        <v>0</v>
      </c>
      <c r="AQ28" s="28" t="s">
        <v>692</v>
      </c>
      <c r="AV28" s="45">
        <f>AW28+AX28</f>
        <v>0</v>
      </c>
      <c r="AW28" s="45">
        <f>F28*AO28</f>
        <v>0</v>
      </c>
      <c r="AX28" s="45">
        <f>F28*AP28</f>
        <v>0</v>
      </c>
      <c r="AY28" s="28" t="s">
        <v>365</v>
      </c>
      <c r="AZ28" s="28" t="s">
        <v>63</v>
      </c>
      <c r="BA28" s="22" t="s">
        <v>544</v>
      </c>
      <c r="BC28" s="45">
        <f>AW28+AX28</f>
        <v>0</v>
      </c>
      <c r="BD28" s="45">
        <f>G28/(100-BE28)*100</f>
        <v>0</v>
      </c>
      <c r="BE28" s="45">
        <v>0</v>
      </c>
      <c r="BF28" s="45">
        <f>28</f>
        <v>28</v>
      </c>
      <c r="BH28" s="45">
        <f>F28*AO28</f>
        <v>0</v>
      </c>
      <c r="BI28" s="45">
        <f>F28*AP28</f>
        <v>0</v>
      </c>
      <c r="BJ28" s="45">
        <f>F28*G28</f>
        <v>0</v>
      </c>
      <c r="BK28" s="45"/>
      <c r="BL28" s="45">
        <v>12</v>
      </c>
      <c r="BW28" s="45">
        <v>21</v>
      </c>
    </row>
    <row r="29" spans="1:75" ht="15" customHeight="1">
      <c r="A29" s="49"/>
      <c r="C29" s="12" t="s">
        <v>27</v>
      </c>
      <c r="D29" s="12" t="s">
        <v>495</v>
      </c>
      <c r="F29" s="47">
        <v>1.7450000000000001</v>
      </c>
      <c r="K29" s="16"/>
    </row>
    <row r="30" spans="1:75" ht="15" customHeight="1">
      <c r="A30" s="42" t="s">
        <v>495</v>
      </c>
      <c r="B30" s="39" t="s">
        <v>49</v>
      </c>
      <c r="C30" s="79" t="s">
        <v>591</v>
      </c>
      <c r="D30" s="80"/>
      <c r="E30" s="27" t="s">
        <v>653</v>
      </c>
      <c r="F30" s="27" t="s">
        <v>653</v>
      </c>
      <c r="G30" s="27" t="s">
        <v>653</v>
      </c>
      <c r="H30" s="11">
        <f>SUM(H31:H35)</f>
        <v>0</v>
      </c>
      <c r="I30" s="11">
        <f>SUM(I31:I35)</f>
        <v>0</v>
      </c>
      <c r="J30" s="11">
        <f>SUM(J31:J35)</f>
        <v>0</v>
      </c>
      <c r="K30" s="50" t="s">
        <v>495</v>
      </c>
      <c r="AI30" s="22" t="s">
        <v>495</v>
      </c>
      <c r="AS30" s="11">
        <f>SUM(AJ31:AJ35)</f>
        <v>0</v>
      </c>
      <c r="AT30" s="11">
        <f>SUM(AK31:AK35)</f>
        <v>0</v>
      </c>
      <c r="AU30" s="11">
        <f>SUM(AL31:AL35)</f>
        <v>0</v>
      </c>
    </row>
    <row r="31" spans="1:75" ht="13.5" customHeight="1">
      <c r="A31" s="15" t="s">
        <v>557</v>
      </c>
      <c r="B31" s="4" t="s">
        <v>384</v>
      </c>
      <c r="C31" s="66" t="s">
        <v>489</v>
      </c>
      <c r="D31" s="63"/>
      <c r="E31" s="4" t="s">
        <v>676</v>
      </c>
      <c r="F31" s="45">
        <v>1.7450000000000001</v>
      </c>
      <c r="G31" s="45">
        <v>0</v>
      </c>
      <c r="H31" s="45">
        <f>F31*AO31</f>
        <v>0</v>
      </c>
      <c r="I31" s="45">
        <f>F31*AP31</f>
        <v>0</v>
      </c>
      <c r="J31" s="45">
        <f>F31*G31</f>
        <v>0</v>
      </c>
      <c r="K31" s="43" t="s">
        <v>319</v>
      </c>
      <c r="Z31" s="45">
        <f>IF(AQ31="5",BJ31,0)</f>
        <v>0</v>
      </c>
      <c r="AB31" s="45">
        <f>IF(AQ31="1",BH31,0)</f>
        <v>0</v>
      </c>
      <c r="AC31" s="45">
        <f>IF(AQ31="1",BI31,0)</f>
        <v>0</v>
      </c>
      <c r="AD31" s="45">
        <f>IF(AQ31="7",BH31,0)</f>
        <v>0</v>
      </c>
      <c r="AE31" s="45">
        <f>IF(AQ31="7",BI31,0)</f>
        <v>0</v>
      </c>
      <c r="AF31" s="45">
        <f>IF(AQ31="2",BH31,0)</f>
        <v>0</v>
      </c>
      <c r="AG31" s="45">
        <f>IF(AQ31="2",BI31,0)</f>
        <v>0</v>
      </c>
      <c r="AH31" s="45">
        <f>IF(AQ31="0",BJ31,0)</f>
        <v>0</v>
      </c>
      <c r="AI31" s="22" t="s">
        <v>495</v>
      </c>
      <c r="AJ31" s="45">
        <f>IF(AN31=0,J31,0)</f>
        <v>0</v>
      </c>
      <c r="AK31" s="45">
        <f>IF(AN31=12,J31,0)</f>
        <v>0</v>
      </c>
      <c r="AL31" s="45">
        <f>IF(AN31=21,J31,0)</f>
        <v>0</v>
      </c>
      <c r="AN31" s="45">
        <v>21</v>
      </c>
      <c r="AO31" s="45">
        <f>G31*0</f>
        <v>0</v>
      </c>
      <c r="AP31" s="45">
        <f>G31*(1-0)</f>
        <v>0</v>
      </c>
      <c r="AQ31" s="28" t="s">
        <v>692</v>
      </c>
      <c r="AV31" s="45">
        <f>AW31+AX31</f>
        <v>0</v>
      </c>
      <c r="AW31" s="45">
        <f>F31*AO31</f>
        <v>0</v>
      </c>
      <c r="AX31" s="45">
        <f>F31*AP31</f>
        <v>0</v>
      </c>
      <c r="AY31" s="28" t="s">
        <v>654</v>
      </c>
      <c r="AZ31" s="28" t="s">
        <v>63</v>
      </c>
      <c r="BA31" s="22" t="s">
        <v>544</v>
      </c>
      <c r="BC31" s="45">
        <f>AW31+AX31</f>
        <v>0</v>
      </c>
      <c r="BD31" s="45">
        <f>G31/(100-BE31)*100</f>
        <v>0</v>
      </c>
      <c r="BE31" s="45">
        <v>0</v>
      </c>
      <c r="BF31" s="45">
        <f>31</f>
        <v>31</v>
      </c>
      <c r="BH31" s="45">
        <f>F31*AO31</f>
        <v>0</v>
      </c>
      <c r="BI31" s="45">
        <f>F31*AP31</f>
        <v>0</v>
      </c>
      <c r="BJ31" s="45">
        <f>F31*G31</f>
        <v>0</v>
      </c>
      <c r="BK31" s="45"/>
      <c r="BL31" s="45">
        <v>16</v>
      </c>
      <c r="BW31" s="45">
        <v>21</v>
      </c>
    </row>
    <row r="32" spans="1:75" ht="15" customHeight="1">
      <c r="A32" s="49"/>
      <c r="C32" s="12" t="s">
        <v>27</v>
      </c>
      <c r="D32" s="12" t="s">
        <v>495</v>
      </c>
      <c r="F32" s="47">
        <v>1.7450000000000001</v>
      </c>
      <c r="K32" s="16"/>
    </row>
    <row r="33" spans="1:75" ht="13.5" customHeight="1">
      <c r="A33" s="15" t="s">
        <v>267</v>
      </c>
      <c r="B33" s="4" t="s">
        <v>595</v>
      </c>
      <c r="C33" s="66" t="s">
        <v>40</v>
      </c>
      <c r="D33" s="63"/>
      <c r="E33" s="4" t="s">
        <v>676</v>
      </c>
      <c r="F33" s="45">
        <v>1.7450000000000001</v>
      </c>
      <c r="G33" s="45">
        <v>0</v>
      </c>
      <c r="H33" s="45">
        <f>F33*AO33</f>
        <v>0</v>
      </c>
      <c r="I33" s="45">
        <f>F33*AP33</f>
        <v>0</v>
      </c>
      <c r="J33" s="45">
        <f>F33*G33</f>
        <v>0</v>
      </c>
      <c r="K33" s="43" t="s">
        <v>319</v>
      </c>
      <c r="Z33" s="45">
        <f>IF(AQ33="5",BJ33,0)</f>
        <v>0</v>
      </c>
      <c r="AB33" s="45">
        <f>IF(AQ33="1",BH33,0)</f>
        <v>0</v>
      </c>
      <c r="AC33" s="45">
        <f>IF(AQ33="1",BI33,0)</f>
        <v>0</v>
      </c>
      <c r="AD33" s="45">
        <f>IF(AQ33="7",BH33,0)</f>
        <v>0</v>
      </c>
      <c r="AE33" s="45">
        <f>IF(AQ33="7",BI33,0)</f>
        <v>0</v>
      </c>
      <c r="AF33" s="45">
        <f>IF(AQ33="2",BH33,0)</f>
        <v>0</v>
      </c>
      <c r="AG33" s="45">
        <f>IF(AQ33="2",BI33,0)</f>
        <v>0</v>
      </c>
      <c r="AH33" s="45">
        <f>IF(AQ33="0",BJ33,0)</f>
        <v>0</v>
      </c>
      <c r="AI33" s="22" t="s">
        <v>495</v>
      </c>
      <c r="AJ33" s="45">
        <f>IF(AN33=0,J33,0)</f>
        <v>0</v>
      </c>
      <c r="AK33" s="45">
        <f>IF(AN33=12,J33,0)</f>
        <v>0</v>
      </c>
      <c r="AL33" s="45">
        <f>IF(AN33=21,J33,0)</f>
        <v>0</v>
      </c>
      <c r="AN33" s="45">
        <v>21</v>
      </c>
      <c r="AO33" s="45">
        <f>G33*0</f>
        <v>0</v>
      </c>
      <c r="AP33" s="45">
        <f>G33*(1-0)</f>
        <v>0</v>
      </c>
      <c r="AQ33" s="28" t="s">
        <v>692</v>
      </c>
      <c r="AV33" s="45">
        <f>AW33+AX33</f>
        <v>0</v>
      </c>
      <c r="AW33" s="45">
        <f>F33*AO33</f>
        <v>0</v>
      </c>
      <c r="AX33" s="45">
        <f>F33*AP33</f>
        <v>0</v>
      </c>
      <c r="AY33" s="28" t="s">
        <v>654</v>
      </c>
      <c r="AZ33" s="28" t="s">
        <v>63</v>
      </c>
      <c r="BA33" s="22" t="s">
        <v>544</v>
      </c>
      <c r="BC33" s="45">
        <f>AW33+AX33</f>
        <v>0</v>
      </c>
      <c r="BD33" s="45">
        <f>G33/(100-BE33)*100</f>
        <v>0</v>
      </c>
      <c r="BE33" s="45">
        <v>0</v>
      </c>
      <c r="BF33" s="45">
        <f>33</f>
        <v>33</v>
      </c>
      <c r="BH33" s="45">
        <f>F33*AO33</f>
        <v>0</v>
      </c>
      <c r="BI33" s="45">
        <f>F33*AP33</f>
        <v>0</v>
      </c>
      <c r="BJ33" s="45">
        <f>F33*G33</f>
        <v>0</v>
      </c>
      <c r="BK33" s="45"/>
      <c r="BL33" s="45">
        <v>16</v>
      </c>
      <c r="BW33" s="45">
        <v>21</v>
      </c>
    </row>
    <row r="34" spans="1:75" ht="15" customHeight="1">
      <c r="A34" s="49"/>
      <c r="C34" s="12" t="s">
        <v>27</v>
      </c>
      <c r="D34" s="12" t="s">
        <v>495</v>
      </c>
      <c r="F34" s="47">
        <v>1.7450000000000001</v>
      </c>
      <c r="K34" s="16"/>
    </row>
    <row r="35" spans="1:75" ht="13.5" customHeight="1">
      <c r="A35" s="15" t="s">
        <v>408</v>
      </c>
      <c r="B35" s="4" t="s">
        <v>336</v>
      </c>
      <c r="C35" s="66" t="s">
        <v>389</v>
      </c>
      <c r="D35" s="63"/>
      <c r="E35" s="4" t="s">
        <v>676</v>
      </c>
      <c r="F35" s="45">
        <v>15.705</v>
      </c>
      <c r="G35" s="45">
        <v>0</v>
      </c>
      <c r="H35" s="45">
        <f>F35*AO35</f>
        <v>0</v>
      </c>
      <c r="I35" s="45">
        <f>F35*AP35</f>
        <v>0</v>
      </c>
      <c r="J35" s="45">
        <f>F35*G35</f>
        <v>0</v>
      </c>
      <c r="K35" s="43" t="s">
        <v>319</v>
      </c>
      <c r="Z35" s="45">
        <f>IF(AQ35="5",BJ35,0)</f>
        <v>0</v>
      </c>
      <c r="AB35" s="45">
        <f>IF(AQ35="1",BH35,0)</f>
        <v>0</v>
      </c>
      <c r="AC35" s="45">
        <f>IF(AQ35="1",BI35,0)</f>
        <v>0</v>
      </c>
      <c r="AD35" s="45">
        <f>IF(AQ35="7",BH35,0)</f>
        <v>0</v>
      </c>
      <c r="AE35" s="45">
        <f>IF(AQ35="7",BI35,0)</f>
        <v>0</v>
      </c>
      <c r="AF35" s="45">
        <f>IF(AQ35="2",BH35,0)</f>
        <v>0</v>
      </c>
      <c r="AG35" s="45">
        <f>IF(AQ35="2",BI35,0)</f>
        <v>0</v>
      </c>
      <c r="AH35" s="45">
        <f>IF(AQ35="0",BJ35,0)</f>
        <v>0</v>
      </c>
      <c r="AI35" s="22" t="s">
        <v>495</v>
      </c>
      <c r="AJ35" s="45">
        <f>IF(AN35=0,J35,0)</f>
        <v>0</v>
      </c>
      <c r="AK35" s="45">
        <f>IF(AN35=12,J35,0)</f>
        <v>0</v>
      </c>
      <c r="AL35" s="45">
        <f>IF(AN35=21,J35,0)</f>
        <v>0</v>
      </c>
      <c r="AN35" s="45">
        <v>21</v>
      </c>
      <c r="AO35" s="45">
        <f>G35*0</f>
        <v>0</v>
      </c>
      <c r="AP35" s="45">
        <f>G35*(1-0)</f>
        <v>0</v>
      </c>
      <c r="AQ35" s="28" t="s">
        <v>692</v>
      </c>
      <c r="AV35" s="45">
        <f>AW35+AX35</f>
        <v>0</v>
      </c>
      <c r="AW35" s="45">
        <f>F35*AO35</f>
        <v>0</v>
      </c>
      <c r="AX35" s="45">
        <f>F35*AP35</f>
        <v>0</v>
      </c>
      <c r="AY35" s="28" t="s">
        <v>654</v>
      </c>
      <c r="AZ35" s="28" t="s">
        <v>63</v>
      </c>
      <c r="BA35" s="22" t="s">
        <v>544</v>
      </c>
      <c r="BC35" s="45">
        <f>AW35+AX35</f>
        <v>0</v>
      </c>
      <c r="BD35" s="45">
        <f>G35/(100-BE35)*100</f>
        <v>0</v>
      </c>
      <c r="BE35" s="45">
        <v>0</v>
      </c>
      <c r="BF35" s="45">
        <f>35</f>
        <v>35</v>
      </c>
      <c r="BH35" s="45">
        <f>F35*AO35</f>
        <v>0</v>
      </c>
      <c r="BI35" s="45">
        <f>F35*AP35</f>
        <v>0</v>
      </c>
      <c r="BJ35" s="45">
        <f>F35*G35</f>
        <v>0</v>
      </c>
      <c r="BK35" s="45"/>
      <c r="BL35" s="45">
        <v>16</v>
      </c>
      <c r="BW35" s="45">
        <v>21</v>
      </c>
    </row>
    <row r="36" spans="1:75" ht="15" customHeight="1">
      <c r="A36" s="49"/>
      <c r="C36" s="12" t="s">
        <v>127</v>
      </c>
      <c r="D36" s="12" t="s">
        <v>495</v>
      </c>
      <c r="F36" s="47">
        <v>15.705000000000002</v>
      </c>
      <c r="K36" s="16"/>
    </row>
    <row r="37" spans="1:75" ht="15" customHeight="1">
      <c r="A37" s="42" t="s">
        <v>495</v>
      </c>
      <c r="B37" s="39" t="s">
        <v>327</v>
      </c>
      <c r="C37" s="79" t="s">
        <v>662</v>
      </c>
      <c r="D37" s="80"/>
      <c r="E37" s="27" t="s">
        <v>653</v>
      </c>
      <c r="F37" s="27" t="s">
        <v>653</v>
      </c>
      <c r="G37" s="27" t="s">
        <v>653</v>
      </c>
      <c r="H37" s="11">
        <f>SUM(H38:H38)</f>
        <v>0</v>
      </c>
      <c r="I37" s="11">
        <f>SUM(I38:I38)</f>
        <v>0</v>
      </c>
      <c r="J37" s="11">
        <f>SUM(J38:J38)</f>
        <v>0</v>
      </c>
      <c r="K37" s="50" t="s">
        <v>495</v>
      </c>
      <c r="AI37" s="22" t="s">
        <v>495</v>
      </c>
      <c r="AS37" s="11">
        <f>SUM(AJ38:AJ38)</f>
        <v>0</v>
      </c>
      <c r="AT37" s="11">
        <f>SUM(AK38:AK38)</f>
        <v>0</v>
      </c>
      <c r="AU37" s="11">
        <f>SUM(AL38:AL38)</f>
        <v>0</v>
      </c>
    </row>
    <row r="38" spans="1:75" ht="13.5" customHeight="1">
      <c r="A38" s="15" t="s">
        <v>592</v>
      </c>
      <c r="B38" s="4" t="s">
        <v>358</v>
      </c>
      <c r="C38" s="66" t="s">
        <v>7</v>
      </c>
      <c r="D38" s="63"/>
      <c r="E38" s="4" t="s">
        <v>686</v>
      </c>
      <c r="F38" s="45">
        <v>11</v>
      </c>
      <c r="G38" s="45">
        <v>0</v>
      </c>
      <c r="H38" s="45">
        <f>F38*AO38</f>
        <v>0</v>
      </c>
      <c r="I38" s="45">
        <f>F38*AP38</f>
        <v>0</v>
      </c>
      <c r="J38" s="45">
        <f>F38*G38</f>
        <v>0</v>
      </c>
      <c r="K38" s="43" t="s">
        <v>319</v>
      </c>
      <c r="Z38" s="45">
        <f>IF(AQ38="5",BJ38,0)</f>
        <v>0</v>
      </c>
      <c r="AB38" s="45">
        <f>IF(AQ38="1",BH38,0)</f>
        <v>0</v>
      </c>
      <c r="AC38" s="45">
        <f>IF(AQ38="1",BI38,0)</f>
        <v>0</v>
      </c>
      <c r="AD38" s="45">
        <f>IF(AQ38="7",BH38,0)</f>
        <v>0</v>
      </c>
      <c r="AE38" s="45">
        <f>IF(AQ38="7",BI38,0)</f>
        <v>0</v>
      </c>
      <c r="AF38" s="45">
        <f>IF(AQ38="2",BH38,0)</f>
        <v>0</v>
      </c>
      <c r="AG38" s="45">
        <f>IF(AQ38="2",BI38,0)</f>
        <v>0</v>
      </c>
      <c r="AH38" s="45">
        <f>IF(AQ38="0",BJ38,0)</f>
        <v>0</v>
      </c>
      <c r="AI38" s="22" t="s">
        <v>495</v>
      </c>
      <c r="AJ38" s="45">
        <f>IF(AN38=0,J38,0)</f>
        <v>0</v>
      </c>
      <c r="AK38" s="45">
        <f>IF(AN38=12,J38,0)</f>
        <v>0</v>
      </c>
      <c r="AL38" s="45">
        <f>IF(AN38=21,J38,0)</f>
        <v>0</v>
      </c>
      <c r="AN38" s="45">
        <v>21</v>
      </c>
      <c r="AO38" s="45">
        <f>G38*0.60831219868851</f>
        <v>0</v>
      </c>
      <c r="AP38" s="45">
        <f>G38*(1-0.60831219868851)</f>
        <v>0</v>
      </c>
      <c r="AQ38" s="28" t="s">
        <v>692</v>
      </c>
      <c r="AV38" s="45">
        <f>AW38+AX38</f>
        <v>0</v>
      </c>
      <c r="AW38" s="45">
        <f>F38*AO38</f>
        <v>0</v>
      </c>
      <c r="AX38" s="45">
        <f>F38*AP38</f>
        <v>0</v>
      </c>
      <c r="AY38" s="28" t="s">
        <v>688</v>
      </c>
      <c r="AZ38" s="28" t="s">
        <v>422</v>
      </c>
      <c r="BA38" s="22" t="s">
        <v>544</v>
      </c>
      <c r="BC38" s="45">
        <f>AW38+AX38</f>
        <v>0</v>
      </c>
      <c r="BD38" s="45">
        <f>G38/(100-BE38)*100</f>
        <v>0</v>
      </c>
      <c r="BE38" s="45">
        <v>0</v>
      </c>
      <c r="BF38" s="45">
        <f>38</f>
        <v>38</v>
      </c>
      <c r="BH38" s="45">
        <f>F38*AO38</f>
        <v>0</v>
      </c>
      <c r="BI38" s="45">
        <f>F38*AP38</f>
        <v>0</v>
      </c>
      <c r="BJ38" s="45">
        <f>F38*G38</f>
        <v>0</v>
      </c>
      <c r="BK38" s="45"/>
      <c r="BL38" s="45">
        <v>59</v>
      </c>
      <c r="BW38" s="45">
        <v>21</v>
      </c>
    </row>
    <row r="39" spans="1:75" ht="15" customHeight="1">
      <c r="A39" s="49"/>
      <c r="C39" s="12" t="s">
        <v>657</v>
      </c>
      <c r="D39" s="12" t="s">
        <v>495</v>
      </c>
      <c r="F39" s="47">
        <v>11.000000000000002</v>
      </c>
      <c r="K39" s="16"/>
    </row>
    <row r="40" spans="1:75" ht="15" customHeight="1">
      <c r="A40" s="42" t="s">
        <v>495</v>
      </c>
      <c r="B40" s="39" t="s">
        <v>73</v>
      </c>
      <c r="C40" s="79" t="s">
        <v>153</v>
      </c>
      <c r="D40" s="80"/>
      <c r="E40" s="27" t="s">
        <v>653</v>
      </c>
      <c r="F40" s="27" t="s">
        <v>653</v>
      </c>
      <c r="G40" s="27" t="s">
        <v>653</v>
      </c>
      <c r="H40" s="11">
        <f>SUM(H41:H47)</f>
        <v>0</v>
      </c>
      <c r="I40" s="11">
        <f>SUM(I41:I47)</f>
        <v>0</v>
      </c>
      <c r="J40" s="11">
        <f>SUM(J41:J47)</f>
        <v>0</v>
      </c>
      <c r="K40" s="50" t="s">
        <v>495</v>
      </c>
      <c r="AI40" s="22" t="s">
        <v>495</v>
      </c>
      <c r="AS40" s="11">
        <f>SUM(AJ41:AJ47)</f>
        <v>0</v>
      </c>
      <c r="AT40" s="11">
        <f>SUM(AK41:AK47)</f>
        <v>0</v>
      </c>
      <c r="AU40" s="11">
        <f>SUM(AL41:AL47)</f>
        <v>0</v>
      </c>
    </row>
    <row r="41" spans="1:75" ht="13.5" customHeight="1">
      <c r="A41" s="15" t="s">
        <v>519</v>
      </c>
      <c r="B41" s="4" t="s">
        <v>114</v>
      </c>
      <c r="C41" s="66" t="s">
        <v>129</v>
      </c>
      <c r="D41" s="63"/>
      <c r="E41" s="4" t="s">
        <v>686</v>
      </c>
      <c r="F41" s="45">
        <v>160.49</v>
      </c>
      <c r="G41" s="45">
        <v>0</v>
      </c>
      <c r="H41" s="45">
        <f>F41*AO41</f>
        <v>0</v>
      </c>
      <c r="I41" s="45">
        <f>F41*AP41</f>
        <v>0</v>
      </c>
      <c r="J41" s="45">
        <f>F41*G41</f>
        <v>0</v>
      </c>
      <c r="K41" s="43" t="s">
        <v>319</v>
      </c>
      <c r="Z41" s="45">
        <f>IF(AQ41="5",BJ41,0)</f>
        <v>0</v>
      </c>
      <c r="AB41" s="45">
        <f>IF(AQ41="1",BH41,0)</f>
        <v>0</v>
      </c>
      <c r="AC41" s="45">
        <f>IF(AQ41="1",BI41,0)</f>
        <v>0</v>
      </c>
      <c r="AD41" s="45">
        <f>IF(AQ41="7",BH41,0)</f>
        <v>0</v>
      </c>
      <c r="AE41" s="45">
        <f>IF(AQ41="7",BI41,0)</f>
        <v>0</v>
      </c>
      <c r="AF41" s="45">
        <f>IF(AQ41="2",BH41,0)</f>
        <v>0</v>
      </c>
      <c r="AG41" s="45">
        <f>IF(AQ41="2",BI41,0)</f>
        <v>0</v>
      </c>
      <c r="AH41" s="45">
        <f>IF(AQ41="0",BJ41,0)</f>
        <v>0</v>
      </c>
      <c r="AI41" s="22" t="s">
        <v>495</v>
      </c>
      <c r="AJ41" s="45">
        <f>IF(AN41=0,J41,0)</f>
        <v>0</v>
      </c>
      <c r="AK41" s="45">
        <f>IF(AN41=12,J41,0)</f>
        <v>0</v>
      </c>
      <c r="AL41" s="45">
        <f>IF(AN41=21,J41,0)</f>
        <v>0</v>
      </c>
      <c r="AN41" s="45">
        <v>21</v>
      </c>
      <c r="AO41" s="45">
        <f>G41*0.530506329113924</f>
        <v>0</v>
      </c>
      <c r="AP41" s="45">
        <f>G41*(1-0.530506329113924)</f>
        <v>0</v>
      </c>
      <c r="AQ41" s="28" t="s">
        <v>692</v>
      </c>
      <c r="AV41" s="45">
        <f>AW41+AX41</f>
        <v>0</v>
      </c>
      <c r="AW41" s="45">
        <f>F41*AO41</f>
        <v>0</v>
      </c>
      <c r="AX41" s="45">
        <f>F41*AP41</f>
        <v>0</v>
      </c>
      <c r="AY41" s="28" t="s">
        <v>600</v>
      </c>
      <c r="AZ41" s="28" t="s">
        <v>79</v>
      </c>
      <c r="BA41" s="22" t="s">
        <v>544</v>
      </c>
      <c r="BC41" s="45">
        <f>AW41+AX41</f>
        <v>0</v>
      </c>
      <c r="BD41" s="45">
        <f>G41/(100-BE41)*100</f>
        <v>0</v>
      </c>
      <c r="BE41" s="45">
        <v>0</v>
      </c>
      <c r="BF41" s="45">
        <f>41</f>
        <v>41</v>
      </c>
      <c r="BH41" s="45">
        <f>F41*AO41</f>
        <v>0</v>
      </c>
      <c r="BI41" s="45">
        <f>F41*AP41</f>
        <v>0</v>
      </c>
      <c r="BJ41" s="45">
        <f>F41*G41</f>
        <v>0</v>
      </c>
      <c r="BK41" s="45"/>
      <c r="BL41" s="45">
        <v>60</v>
      </c>
      <c r="BW41" s="45">
        <v>21</v>
      </c>
    </row>
    <row r="42" spans="1:75" ht="15" customHeight="1">
      <c r="A42" s="49"/>
      <c r="C42" s="12" t="s">
        <v>588</v>
      </c>
      <c r="D42" s="12" t="s">
        <v>495</v>
      </c>
      <c r="F42" s="47">
        <v>160.49</v>
      </c>
      <c r="K42" s="16"/>
    </row>
    <row r="43" spans="1:75" ht="13.5" customHeight="1">
      <c r="A43" s="15" t="s">
        <v>193</v>
      </c>
      <c r="B43" s="4" t="s">
        <v>25</v>
      </c>
      <c r="C43" s="66" t="s">
        <v>23</v>
      </c>
      <c r="D43" s="63"/>
      <c r="E43" s="4" t="s">
        <v>686</v>
      </c>
      <c r="F43" s="45">
        <v>160.49</v>
      </c>
      <c r="G43" s="45">
        <v>0</v>
      </c>
      <c r="H43" s="45">
        <f>F43*AO43</f>
        <v>0</v>
      </c>
      <c r="I43" s="45">
        <f>F43*AP43</f>
        <v>0</v>
      </c>
      <c r="J43" s="45">
        <f>F43*G43</f>
        <v>0</v>
      </c>
      <c r="K43" s="43" t="s">
        <v>319</v>
      </c>
      <c r="Z43" s="45">
        <f>IF(AQ43="5",BJ43,0)</f>
        <v>0</v>
      </c>
      <c r="AB43" s="45">
        <f>IF(AQ43="1",BH43,0)</f>
        <v>0</v>
      </c>
      <c r="AC43" s="45">
        <f>IF(AQ43="1",BI43,0)</f>
        <v>0</v>
      </c>
      <c r="AD43" s="45">
        <f>IF(AQ43="7",BH43,0)</f>
        <v>0</v>
      </c>
      <c r="AE43" s="45">
        <f>IF(AQ43="7",BI43,0)</f>
        <v>0</v>
      </c>
      <c r="AF43" s="45">
        <f>IF(AQ43="2",BH43,0)</f>
        <v>0</v>
      </c>
      <c r="AG43" s="45">
        <f>IF(AQ43="2",BI43,0)</f>
        <v>0</v>
      </c>
      <c r="AH43" s="45">
        <f>IF(AQ43="0",BJ43,0)</f>
        <v>0</v>
      </c>
      <c r="AI43" s="22" t="s">
        <v>495</v>
      </c>
      <c r="AJ43" s="45">
        <f>IF(AN43=0,J43,0)</f>
        <v>0</v>
      </c>
      <c r="AK43" s="45">
        <f>IF(AN43=12,J43,0)</f>
        <v>0</v>
      </c>
      <c r="AL43" s="45">
        <f>IF(AN43=21,J43,0)</f>
        <v>0</v>
      </c>
      <c r="AN43" s="45">
        <v>21</v>
      </c>
      <c r="AO43" s="45">
        <f>G43*0.743815444014234</f>
        <v>0</v>
      </c>
      <c r="AP43" s="45">
        <f>G43*(1-0.743815444014234)</f>
        <v>0</v>
      </c>
      <c r="AQ43" s="28" t="s">
        <v>692</v>
      </c>
      <c r="AV43" s="45">
        <f>AW43+AX43</f>
        <v>0</v>
      </c>
      <c r="AW43" s="45">
        <f>F43*AO43</f>
        <v>0</v>
      </c>
      <c r="AX43" s="45">
        <f>F43*AP43</f>
        <v>0</v>
      </c>
      <c r="AY43" s="28" t="s">
        <v>600</v>
      </c>
      <c r="AZ43" s="28" t="s">
        <v>79</v>
      </c>
      <c r="BA43" s="22" t="s">
        <v>544</v>
      </c>
      <c r="BC43" s="45">
        <f>AW43+AX43</f>
        <v>0</v>
      </c>
      <c r="BD43" s="45">
        <f>G43/(100-BE43)*100</f>
        <v>0</v>
      </c>
      <c r="BE43" s="45">
        <v>0</v>
      </c>
      <c r="BF43" s="45">
        <f>43</f>
        <v>43</v>
      </c>
      <c r="BH43" s="45">
        <f>F43*AO43</f>
        <v>0</v>
      </c>
      <c r="BI43" s="45">
        <f>F43*AP43</f>
        <v>0</v>
      </c>
      <c r="BJ43" s="45">
        <f>F43*G43</f>
        <v>0</v>
      </c>
      <c r="BK43" s="45"/>
      <c r="BL43" s="45">
        <v>60</v>
      </c>
      <c r="BW43" s="45">
        <v>21</v>
      </c>
    </row>
    <row r="44" spans="1:75" ht="15" customHeight="1">
      <c r="A44" s="49"/>
      <c r="C44" s="12" t="s">
        <v>96</v>
      </c>
      <c r="D44" s="12" t="s">
        <v>495</v>
      </c>
      <c r="F44" s="47">
        <v>160.49</v>
      </c>
      <c r="K44" s="16"/>
    </row>
    <row r="45" spans="1:75" ht="13.5" customHeight="1">
      <c r="A45" s="15" t="s">
        <v>415</v>
      </c>
      <c r="B45" s="4" t="s">
        <v>166</v>
      </c>
      <c r="C45" s="66" t="s">
        <v>483</v>
      </c>
      <c r="D45" s="63"/>
      <c r="E45" s="4" t="s">
        <v>686</v>
      </c>
      <c r="F45" s="45">
        <v>8.4700000000000006</v>
      </c>
      <c r="G45" s="45">
        <v>0</v>
      </c>
      <c r="H45" s="45">
        <f>F45*AO45</f>
        <v>0</v>
      </c>
      <c r="I45" s="45">
        <f>F45*AP45</f>
        <v>0</v>
      </c>
      <c r="J45" s="45">
        <f>F45*G45</f>
        <v>0</v>
      </c>
      <c r="K45" s="43" t="s">
        <v>319</v>
      </c>
      <c r="Z45" s="45">
        <f>IF(AQ45="5",BJ45,0)</f>
        <v>0</v>
      </c>
      <c r="AB45" s="45">
        <f>IF(AQ45="1",BH45,0)</f>
        <v>0</v>
      </c>
      <c r="AC45" s="45">
        <f>IF(AQ45="1",BI45,0)</f>
        <v>0</v>
      </c>
      <c r="AD45" s="45">
        <f>IF(AQ45="7",BH45,0)</f>
        <v>0</v>
      </c>
      <c r="AE45" s="45">
        <f>IF(AQ45="7",BI45,0)</f>
        <v>0</v>
      </c>
      <c r="AF45" s="45">
        <f>IF(AQ45="2",BH45,0)</f>
        <v>0</v>
      </c>
      <c r="AG45" s="45">
        <f>IF(AQ45="2",BI45,0)</f>
        <v>0</v>
      </c>
      <c r="AH45" s="45">
        <f>IF(AQ45="0",BJ45,0)</f>
        <v>0</v>
      </c>
      <c r="AI45" s="22" t="s">
        <v>495</v>
      </c>
      <c r="AJ45" s="45">
        <f>IF(AN45=0,J45,0)</f>
        <v>0</v>
      </c>
      <c r="AK45" s="45">
        <f>IF(AN45=12,J45,0)</f>
        <v>0</v>
      </c>
      <c r="AL45" s="45">
        <f>IF(AN45=21,J45,0)</f>
        <v>0</v>
      </c>
      <c r="AN45" s="45">
        <v>21</v>
      </c>
      <c r="AO45" s="45">
        <f>G45*0.478690814275987</f>
        <v>0</v>
      </c>
      <c r="AP45" s="45">
        <f>G45*(1-0.478690814275987)</f>
        <v>0</v>
      </c>
      <c r="AQ45" s="28" t="s">
        <v>692</v>
      </c>
      <c r="AV45" s="45">
        <f>AW45+AX45</f>
        <v>0</v>
      </c>
      <c r="AW45" s="45">
        <f>F45*AO45</f>
        <v>0</v>
      </c>
      <c r="AX45" s="45">
        <f>F45*AP45</f>
        <v>0</v>
      </c>
      <c r="AY45" s="28" t="s">
        <v>600</v>
      </c>
      <c r="AZ45" s="28" t="s">
        <v>79</v>
      </c>
      <c r="BA45" s="22" t="s">
        <v>544</v>
      </c>
      <c r="BC45" s="45">
        <f>AW45+AX45</f>
        <v>0</v>
      </c>
      <c r="BD45" s="45">
        <f>G45/(100-BE45)*100</f>
        <v>0</v>
      </c>
      <c r="BE45" s="45">
        <v>0</v>
      </c>
      <c r="BF45" s="45">
        <f>45</f>
        <v>45</v>
      </c>
      <c r="BH45" s="45">
        <f>F45*AO45</f>
        <v>0</v>
      </c>
      <c r="BI45" s="45">
        <f>F45*AP45</f>
        <v>0</v>
      </c>
      <c r="BJ45" s="45">
        <f>F45*G45</f>
        <v>0</v>
      </c>
      <c r="BK45" s="45"/>
      <c r="BL45" s="45">
        <v>60</v>
      </c>
      <c r="BW45" s="45">
        <v>21</v>
      </c>
    </row>
    <row r="46" spans="1:75" ht="15" customHeight="1">
      <c r="A46" s="49"/>
      <c r="C46" s="12" t="s">
        <v>585</v>
      </c>
      <c r="D46" s="12" t="s">
        <v>495</v>
      </c>
      <c r="F46" s="47">
        <v>8.4700000000000006</v>
      </c>
      <c r="K46" s="16"/>
    </row>
    <row r="47" spans="1:75" ht="13.5" customHeight="1">
      <c r="A47" s="15" t="s">
        <v>278</v>
      </c>
      <c r="B47" s="4" t="s">
        <v>182</v>
      </c>
      <c r="C47" s="66" t="s">
        <v>313</v>
      </c>
      <c r="D47" s="63"/>
      <c r="E47" s="4" t="s">
        <v>686</v>
      </c>
      <c r="F47" s="45">
        <v>8.4700000000000006</v>
      </c>
      <c r="G47" s="45">
        <v>0</v>
      </c>
      <c r="H47" s="45">
        <f>F47*AO47</f>
        <v>0</v>
      </c>
      <c r="I47" s="45">
        <f>F47*AP47</f>
        <v>0</v>
      </c>
      <c r="J47" s="45">
        <f>F47*G47</f>
        <v>0</v>
      </c>
      <c r="K47" s="43" t="s">
        <v>319</v>
      </c>
      <c r="Z47" s="45">
        <f>IF(AQ47="5",BJ47,0)</f>
        <v>0</v>
      </c>
      <c r="AB47" s="45">
        <f>IF(AQ47="1",BH47,0)</f>
        <v>0</v>
      </c>
      <c r="AC47" s="45">
        <f>IF(AQ47="1",BI47,0)</f>
        <v>0</v>
      </c>
      <c r="AD47" s="45">
        <f>IF(AQ47="7",BH47,0)</f>
        <v>0</v>
      </c>
      <c r="AE47" s="45">
        <f>IF(AQ47="7",BI47,0)</f>
        <v>0</v>
      </c>
      <c r="AF47" s="45">
        <f>IF(AQ47="2",BH47,0)</f>
        <v>0</v>
      </c>
      <c r="AG47" s="45">
        <f>IF(AQ47="2",BI47,0)</f>
        <v>0</v>
      </c>
      <c r="AH47" s="45">
        <f>IF(AQ47="0",BJ47,0)</f>
        <v>0</v>
      </c>
      <c r="AI47" s="22" t="s">
        <v>495</v>
      </c>
      <c r="AJ47" s="45">
        <f>IF(AN47=0,J47,0)</f>
        <v>0</v>
      </c>
      <c r="AK47" s="45">
        <f>IF(AN47=12,J47,0)</f>
        <v>0</v>
      </c>
      <c r="AL47" s="45">
        <f>IF(AN47=21,J47,0)</f>
        <v>0</v>
      </c>
      <c r="AN47" s="45">
        <v>21</v>
      </c>
      <c r="AO47" s="45">
        <f>G47*0.610630472854641</f>
        <v>0</v>
      </c>
      <c r="AP47" s="45">
        <f>G47*(1-0.610630472854641)</f>
        <v>0</v>
      </c>
      <c r="AQ47" s="28" t="s">
        <v>692</v>
      </c>
      <c r="AV47" s="45">
        <f>AW47+AX47</f>
        <v>0</v>
      </c>
      <c r="AW47" s="45">
        <f>F47*AO47</f>
        <v>0</v>
      </c>
      <c r="AX47" s="45">
        <f>F47*AP47</f>
        <v>0</v>
      </c>
      <c r="AY47" s="28" t="s">
        <v>600</v>
      </c>
      <c r="AZ47" s="28" t="s">
        <v>79</v>
      </c>
      <c r="BA47" s="22" t="s">
        <v>544</v>
      </c>
      <c r="BC47" s="45">
        <f>AW47+AX47</f>
        <v>0</v>
      </c>
      <c r="BD47" s="45">
        <f>G47/(100-BE47)*100</f>
        <v>0</v>
      </c>
      <c r="BE47" s="45">
        <v>0</v>
      </c>
      <c r="BF47" s="45">
        <f>47</f>
        <v>47</v>
      </c>
      <c r="BH47" s="45">
        <f>F47*AO47</f>
        <v>0</v>
      </c>
      <c r="BI47" s="45">
        <f>F47*AP47</f>
        <v>0</v>
      </c>
      <c r="BJ47" s="45">
        <f>F47*G47</f>
        <v>0</v>
      </c>
      <c r="BK47" s="45"/>
      <c r="BL47" s="45">
        <v>60</v>
      </c>
      <c r="BW47" s="45">
        <v>21</v>
      </c>
    </row>
    <row r="48" spans="1:75" ht="15" customHeight="1">
      <c r="A48" s="49"/>
      <c r="C48" s="12" t="s">
        <v>404</v>
      </c>
      <c r="D48" s="12" t="s">
        <v>495</v>
      </c>
      <c r="F48" s="47">
        <v>8.4700000000000006</v>
      </c>
      <c r="K48" s="16"/>
    </row>
    <row r="49" spans="1:75" ht="15" customHeight="1">
      <c r="A49" s="42" t="s">
        <v>495</v>
      </c>
      <c r="B49" s="39" t="s">
        <v>513</v>
      </c>
      <c r="C49" s="79" t="s">
        <v>508</v>
      </c>
      <c r="D49" s="80"/>
      <c r="E49" s="27" t="s">
        <v>653</v>
      </c>
      <c r="F49" s="27" t="s">
        <v>653</v>
      </c>
      <c r="G49" s="27" t="s">
        <v>653</v>
      </c>
      <c r="H49" s="11">
        <f>SUM(H50:H50)</f>
        <v>0</v>
      </c>
      <c r="I49" s="11">
        <f>SUM(I50:I50)</f>
        <v>0</v>
      </c>
      <c r="J49" s="11">
        <f>SUM(J50:J50)</f>
        <v>0</v>
      </c>
      <c r="K49" s="50" t="s">
        <v>495</v>
      </c>
      <c r="AI49" s="22" t="s">
        <v>495</v>
      </c>
      <c r="AS49" s="11">
        <f>SUM(AJ50:AJ50)</f>
        <v>0</v>
      </c>
      <c r="AT49" s="11">
        <f>SUM(AK50:AK50)</f>
        <v>0</v>
      </c>
      <c r="AU49" s="11">
        <f>SUM(AL50:AL50)</f>
        <v>0</v>
      </c>
    </row>
    <row r="50" spans="1:75" ht="13.5" customHeight="1">
      <c r="A50" s="15" t="s">
        <v>49</v>
      </c>
      <c r="B50" s="4" t="s">
        <v>420</v>
      </c>
      <c r="C50" s="66" t="s">
        <v>717</v>
      </c>
      <c r="D50" s="63"/>
      <c r="E50" s="4" t="s">
        <v>686</v>
      </c>
      <c r="F50" s="45">
        <v>35.549999999999997</v>
      </c>
      <c r="G50" s="45">
        <v>0</v>
      </c>
      <c r="H50" s="45">
        <f>F50*AO50</f>
        <v>0</v>
      </c>
      <c r="I50" s="45">
        <f>F50*AP50</f>
        <v>0</v>
      </c>
      <c r="J50" s="45">
        <f>F50*G50</f>
        <v>0</v>
      </c>
      <c r="K50" s="43" t="s">
        <v>319</v>
      </c>
      <c r="Z50" s="45">
        <f>IF(AQ50="5",BJ50,0)</f>
        <v>0</v>
      </c>
      <c r="AB50" s="45">
        <f>IF(AQ50="1",BH50,0)</f>
        <v>0</v>
      </c>
      <c r="AC50" s="45">
        <f>IF(AQ50="1",BI50,0)</f>
        <v>0</v>
      </c>
      <c r="AD50" s="45">
        <f>IF(AQ50="7",BH50,0)</f>
        <v>0</v>
      </c>
      <c r="AE50" s="45">
        <f>IF(AQ50="7",BI50,0)</f>
        <v>0</v>
      </c>
      <c r="AF50" s="45">
        <f>IF(AQ50="2",BH50,0)</f>
        <v>0</v>
      </c>
      <c r="AG50" s="45">
        <f>IF(AQ50="2",BI50,0)</f>
        <v>0</v>
      </c>
      <c r="AH50" s="45">
        <f>IF(AQ50="0",BJ50,0)</f>
        <v>0</v>
      </c>
      <c r="AI50" s="22" t="s">
        <v>495</v>
      </c>
      <c r="AJ50" s="45">
        <f>IF(AN50=0,J50,0)</f>
        <v>0</v>
      </c>
      <c r="AK50" s="45">
        <f>IF(AN50=12,J50,0)</f>
        <v>0</v>
      </c>
      <c r="AL50" s="45">
        <f>IF(AN50=21,J50,0)</f>
        <v>0</v>
      </c>
      <c r="AN50" s="45">
        <v>21</v>
      </c>
      <c r="AO50" s="45">
        <f>G50*0.156746835443038</f>
        <v>0</v>
      </c>
      <c r="AP50" s="45">
        <f>G50*(1-0.156746835443038)</f>
        <v>0</v>
      </c>
      <c r="AQ50" s="28" t="s">
        <v>692</v>
      </c>
      <c r="AV50" s="45">
        <f>AW50+AX50</f>
        <v>0</v>
      </c>
      <c r="AW50" s="45">
        <f>F50*AO50</f>
        <v>0</v>
      </c>
      <c r="AX50" s="45">
        <f>F50*AP50</f>
        <v>0</v>
      </c>
      <c r="AY50" s="28" t="s">
        <v>448</v>
      </c>
      <c r="AZ50" s="28" t="s">
        <v>79</v>
      </c>
      <c r="BA50" s="22" t="s">
        <v>544</v>
      </c>
      <c r="BC50" s="45">
        <f>AW50+AX50</f>
        <v>0</v>
      </c>
      <c r="BD50" s="45">
        <f>G50/(100-BE50)*100</f>
        <v>0</v>
      </c>
      <c r="BE50" s="45">
        <v>0</v>
      </c>
      <c r="BF50" s="45">
        <f>50</f>
        <v>50</v>
      </c>
      <c r="BH50" s="45">
        <f>F50*AO50</f>
        <v>0</v>
      </c>
      <c r="BI50" s="45">
        <f>F50*AP50</f>
        <v>0</v>
      </c>
      <c r="BJ50" s="45">
        <f>F50*G50</f>
        <v>0</v>
      </c>
      <c r="BK50" s="45"/>
      <c r="BL50" s="45">
        <v>61</v>
      </c>
      <c r="BW50" s="45">
        <v>21</v>
      </c>
    </row>
    <row r="51" spans="1:75" ht="15" customHeight="1">
      <c r="A51" s="49"/>
      <c r="C51" s="12" t="s">
        <v>351</v>
      </c>
      <c r="D51" s="12" t="s">
        <v>495</v>
      </c>
      <c r="F51" s="47">
        <v>35.550000000000004</v>
      </c>
      <c r="K51" s="16"/>
    </row>
    <row r="52" spans="1:75" ht="15" customHeight="1">
      <c r="A52" s="42" t="s">
        <v>495</v>
      </c>
      <c r="B52" s="39" t="s">
        <v>764</v>
      </c>
      <c r="C52" s="79" t="s">
        <v>578</v>
      </c>
      <c r="D52" s="80"/>
      <c r="E52" s="27" t="s">
        <v>653</v>
      </c>
      <c r="F52" s="27" t="s">
        <v>653</v>
      </c>
      <c r="G52" s="27" t="s">
        <v>653</v>
      </c>
      <c r="H52" s="11">
        <f>SUM(H53:H107)</f>
        <v>0</v>
      </c>
      <c r="I52" s="11">
        <f>SUM(I53:I107)</f>
        <v>0</v>
      </c>
      <c r="J52" s="11">
        <f>SUM(J53:J107)</f>
        <v>0</v>
      </c>
      <c r="K52" s="50" t="s">
        <v>495</v>
      </c>
      <c r="AI52" s="22" t="s">
        <v>495</v>
      </c>
      <c r="AS52" s="11">
        <f>SUM(AJ53:AJ107)</f>
        <v>0</v>
      </c>
      <c r="AT52" s="11">
        <f>SUM(AK53:AK107)</f>
        <v>0</v>
      </c>
      <c r="AU52" s="11">
        <f>SUM(AL53:AL107)</f>
        <v>0</v>
      </c>
    </row>
    <row r="53" spans="1:75" ht="13.5" customHeight="1">
      <c r="A53" s="15" t="s">
        <v>496</v>
      </c>
      <c r="B53" s="4" t="s">
        <v>386</v>
      </c>
      <c r="C53" s="66" t="s">
        <v>652</v>
      </c>
      <c r="D53" s="63"/>
      <c r="E53" s="4" t="s">
        <v>686</v>
      </c>
      <c r="F53" s="45">
        <v>38.130000000000003</v>
      </c>
      <c r="G53" s="45">
        <v>0</v>
      </c>
      <c r="H53" s="45">
        <f>F53*AO53</f>
        <v>0</v>
      </c>
      <c r="I53" s="45">
        <f>F53*AP53</f>
        <v>0</v>
      </c>
      <c r="J53" s="45">
        <f>F53*G53</f>
        <v>0</v>
      </c>
      <c r="K53" s="43" t="s">
        <v>319</v>
      </c>
      <c r="Z53" s="45">
        <f>IF(AQ53="5",BJ53,0)</f>
        <v>0</v>
      </c>
      <c r="AB53" s="45">
        <f>IF(AQ53="1",BH53,0)</f>
        <v>0</v>
      </c>
      <c r="AC53" s="45">
        <f>IF(AQ53="1",BI53,0)</f>
        <v>0</v>
      </c>
      <c r="AD53" s="45">
        <f>IF(AQ53="7",BH53,0)</f>
        <v>0</v>
      </c>
      <c r="AE53" s="45">
        <f>IF(AQ53="7",BI53,0)</f>
        <v>0</v>
      </c>
      <c r="AF53" s="45">
        <f>IF(AQ53="2",BH53,0)</f>
        <v>0</v>
      </c>
      <c r="AG53" s="45">
        <f>IF(AQ53="2",BI53,0)</f>
        <v>0</v>
      </c>
      <c r="AH53" s="45">
        <f>IF(AQ53="0",BJ53,0)</f>
        <v>0</v>
      </c>
      <c r="AI53" s="22" t="s">
        <v>495</v>
      </c>
      <c r="AJ53" s="45">
        <f>IF(AN53=0,J53,0)</f>
        <v>0</v>
      </c>
      <c r="AK53" s="45">
        <f>IF(AN53=12,J53,0)</f>
        <v>0</v>
      </c>
      <c r="AL53" s="45">
        <f>IF(AN53=21,J53,0)</f>
        <v>0</v>
      </c>
      <c r="AN53" s="45">
        <v>21</v>
      </c>
      <c r="AO53" s="45">
        <f>G53*0.33523270508622</f>
        <v>0</v>
      </c>
      <c r="AP53" s="45">
        <f>G53*(1-0.33523270508622)</f>
        <v>0</v>
      </c>
      <c r="AQ53" s="28" t="s">
        <v>692</v>
      </c>
      <c r="AV53" s="45">
        <f>AW53+AX53</f>
        <v>0</v>
      </c>
      <c r="AW53" s="45">
        <f>F53*AO53</f>
        <v>0</v>
      </c>
      <c r="AX53" s="45">
        <f>F53*AP53</f>
        <v>0</v>
      </c>
      <c r="AY53" s="28" t="s">
        <v>314</v>
      </c>
      <c r="AZ53" s="28" t="s">
        <v>79</v>
      </c>
      <c r="BA53" s="22" t="s">
        <v>544</v>
      </c>
      <c r="BC53" s="45">
        <f>AW53+AX53</f>
        <v>0</v>
      </c>
      <c r="BD53" s="45">
        <f>G53/(100-BE53)*100</f>
        <v>0</v>
      </c>
      <c r="BE53" s="45">
        <v>0</v>
      </c>
      <c r="BF53" s="45">
        <f>53</f>
        <v>53</v>
      </c>
      <c r="BH53" s="45">
        <f>F53*AO53</f>
        <v>0</v>
      </c>
      <c r="BI53" s="45">
        <f>F53*AP53</f>
        <v>0</v>
      </c>
      <c r="BJ53" s="45">
        <f>F53*G53</f>
        <v>0</v>
      </c>
      <c r="BK53" s="45"/>
      <c r="BL53" s="45">
        <v>62</v>
      </c>
      <c r="BW53" s="45">
        <v>21</v>
      </c>
    </row>
    <row r="54" spans="1:75" ht="15" customHeight="1">
      <c r="A54" s="49"/>
      <c r="C54" s="12" t="s">
        <v>349</v>
      </c>
      <c r="D54" s="12" t="s">
        <v>495</v>
      </c>
      <c r="F54" s="47">
        <v>32.400000000000006</v>
      </c>
      <c r="K54" s="16"/>
    </row>
    <row r="55" spans="1:75" ht="15" customHeight="1">
      <c r="A55" s="49"/>
      <c r="C55" s="12" t="s">
        <v>742</v>
      </c>
      <c r="D55" s="12" t="s">
        <v>495</v>
      </c>
      <c r="F55" s="47">
        <v>0.96000000000000008</v>
      </c>
      <c r="K55" s="16"/>
    </row>
    <row r="56" spans="1:75" ht="15" customHeight="1">
      <c r="A56" s="49"/>
      <c r="C56" s="12" t="s">
        <v>99</v>
      </c>
      <c r="D56" s="12" t="s">
        <v>495</v>
      </c>
      <c r="F56" s="47">
        <v>0.9</v>
      </c>
      <c r="K56" s="16"/>
    </row>
    <row r="57" spans="1:75" ht="15" customHeight="1">
      <c r="A57" s="49"/>
      <c r="C57" s="12" t="s">
        <v>272</v>
      </c>
      <c r="D57" s="12" t="s">
        <v>495</v>
      </c>
      <c r="F57" s="47">
        <v>3.87</v>
      </c>
      <c r="K57" s="16"/>
    </row>
    <row r="58" spans="1:75" ht="13.5" customHeight="1">
      <c r="A58" s="15" t="s">
        <v>565</v>
      </c>
      <c r="B58" s="4" t="s">
        <v>238</v>
      </c>
      <c r="C58" s="66" t="s">
        <v>34</v>
      </c>
      <c r="D58" s="63"/>
      <c r="E58" s="4" t="s">
        <v>584</v>
      </c>
      <c r="F58" s="45">
        <v>44.73</v>
      </c>
      <c r="G58" s="45">
        <v>0</v>
      </c>
      <c r="H58" s="45">
        <f>F58*AO58</f>
        <v>0</v>
      </c>
      <c r="I58" s="45">
        <f>F58*AP58</f>
        <v>0</v>
      </c>
      <c r="J58" s="45">
        <f>F58*G58</f>
        <v>0</v>
      </c>
      <c r="K58" s="43" t="s">
        <v>319</v>
      </c>
      <c r="Z58" s="45">
        <f>IF(AQ58="5",BJ58,0)</f>
        <v>0</v>
      </c>
      <c r="AB58" s="45">
        <f>IF(AQ58="1",BH58,0)</f>
        <v>0</v>
      </c>
      <c r="AC58" s="45">
        <f>IF(AQ58="1",BI58,0)</f>
        <v>0</v>
      </c>
      <c r="AD58" s="45">
        <f>IF(AQ58="7",BH58,0)</f>
        <v>0</v>
      </c>
      <c r="AE58" s="45">
        <f>IF(AQ58="7",BI58,0)</f>
        <v>0</v>
      </c>
      <c r="AF58" s="45">
        <f>IF(AQ58="2",BH58,0)</f>
        <v>0</v>
      </c>
      <c r="AG58" s="45">
        <f>IF(AQ58="2",BI58,0)</f>
        <v>0</v>
      </c>
      <c r="AH58" s="45">
        <f>IF(AQ58="0",BJ58,0)</f>
        <v>0</v>
      </c>
      <c r="AI58" s="22" t="s">
        <v>495</v>
      </c>
      <c r="AJ58" s="45">
        <f>IF(AN58=0,J58,0)</f>
        <v>0</v>
      </c>
      <c r="AK58" s="45">
        <f>IF(AN58=12,J58,0)</f>
        <v>0</v>
      </c>
      <c r="AL58" s="45">
        <f>IF(AN58=21,J58,0)</f>
        <v>0</v>
      </c>
      <c r="AN58" s="45">
        <v>21</v>
      </c>
      <c r="AO58" s="45">
        <f>G58*0.308702290076336</f>
        <v>0</v>
      </c>
      <c r="AP58" s="45">
        <f>G58*(1-0.308702290076336)</f>
        <v>0</v>
      </c>
      <c r="AQ58" s="28" t="s">
        <v>692</v>
      </c>
      <c r="AV58" s="45">
        <f>AW58+AX58</f>
        <v>0</v>
      </c>
      <c r="AW58" s="45">
        <f>F58*AO58</f>
        <v>0</v>
      </c>
      <c r="AX58" s="45">
        <f>F58*AP58</f>
        <v>0</v>
      </c>
      <c r="AY58" s="28" t="s">
        <v>314</v>
      </c>
      <c r="AZ58" s="28" t="s">
        <v>79</v>
      </c>
      <c r="BA58" s="22" t="s">
        <v>544</v>
      </c>
      <c r="BC58" s="45">
        <f>AW58+AX58</f>
        <v>0</v>
      </c>
      <c r="BD58" s="45">
        <f>G58/(100-BE58)*100</f>
        <v>0</v>
      </c>
      <c r="BE58" s="45">
        <v>0</v>
      </c>
      <c r="BF58" s="45">
        <f>58</f>
        <v>58</v>
      </c>
      <c r="BH58" s="45">
        <f>F58*AO58</f>
        <v>0</v>
      </c>
      <c r="BI58" s="45">
        <f>F58*AP58</f>
        <v>0</v>
      </c>
      <c r="BJ58" s="45">
        <f>F58*G58</f>
        <v>0</v>
      </c>
      <c r="BK58" s="45"/>
      <c r="BL58" s="45">
        <v>62</v>
      </c>
      <c r="BW58" s="45">
        <v>21</v>
      </c>
    </row>
    <row r="59" spans="1:75" ht="15" customHeight="1">
      <c r="A59" s="49"/>
      <c r="C59" s="12" t="s">
        <v>210</v>
      </c>
      <c r="D59" s="12" t="s">
        <v>495</v>
      </c>
      <c r="F59" s="47">
        <v>18</v>
      </c>
      <c r="K59" s="16"/>
    </row>
    <row r="60" spans="1:75" ht="15" customHeight="1">
      <c r="A60" s="49"/>
      <c r="C60" s="12" t="s">
        <v>111</v>
      </c>
      <c r="D60" s="12" t="s">
        <v>495</v>
      </c>
      <c r="F60" s="47">
        <v>0.60000000000000009</v>
      </c>
      <c r="K60" s="16"/>
    </row>
    <row r="61" spans="1:75" ht="15" customHeight="1">
      <c r="A61" s="49"/>
      <c r="C61" s="12" t="s">
        <v>312</v>
      </c>
      <c r="D61" s="12" t="s">
        <v>495</v>
      </c>
      <c r="F61" s="47">
        <v>0.9</v>
      </c>
      <c r="K61" s="16"/>
    </row>
    <row r="62" spans="1:75" ht="15" customHeight="1">
      <c r="A62" s="49"/>
      <c r="C62" s="12" t="s">
        <v>185</v>
      </c>
      <c r="D62" s="12" t="s">
        <v>495</v>
      </c>
      <c r="F62" s="47">
        <v>1.8</v>
      </c>
      <c r="K62" s="16"/>
    </row>
    <row r="63" spans="1:75" ht="15" customHeight="1">
      <c r="A63" s="49"/>
      <c r="C63" s="12" t="s">
        <v>466</v>
      </c>
      <c r="D63" s="12" t="s">
        <v>495</v>
      </c>
      <c r="F63" s="47">
        <v>23.430000000000003</v>
      </c>
      <c r="K63" s="16"/>
    </row>
    <row r="64" spans="1:75" ht="13.5" customHeight="1">
      <c r="A64" s="15" t="s">
        <v>451</v>
      </c>
      <c r="B64" s="4" t="s">
        <v>64</v>
      </c>
      <c r="C64" s="66" t="s">
        <v>482</v>
      </c>
      <c r="D64" s="63"/>
      <c r="E64" s="4" t="s">
        <v>584</v>
      </c>
      <c r="F64" s="45">
        <v>54.78</v>
      </c>
      <c r="G64" s="45">
        <v>0</v>
      </c>
      <c r="H64" s="45">
        <f>F64*AO64</f>
        <v>0</v>
      </c>
      <c r="I64" s="45">
        <f>F64*AP64</f>
        <v>0</v>
      </c>
      <c r="J64" s="45">
        <f>F64*G64</f>
        <v>0</v>
      </c>
      <c r="K64" s="43" t="s">
        <v>319</v>
      </c>
      <c r="Z64" s="45">
        <f>IF(AQ64="5",BJ64,0)</f>
        <v>0</v>
      </c>
      <c r="AB64" s="45">
        <f>IF(AQ64="1",BH64,0)</f>
        <v>0</v>
      </c>
      <c r="AC64" s="45">
        <f>IF(AQ64="1",BI64,0)</f>
        <v>0</v>
      </c>
      <c r="AD64" s="45">
        <f>IF(AQ64="7",BH64,0)</f>
        <v>0</v>
      </c>
      <c r="AE64" s="45">
        <f>IF(AQ64="7",BI64,0)</f>
        <v>0</v>
      </c>
      <c r="AF64" s="45">
        <f>IF(AQ64="2",BH64,0)</f>
        <v>0</v>
      </c>
      <c r="AG64" s="45">
        <f>IF(AQ64="2",BI64,0)</f>
        <v>0</v>
      </c>
      <c r="AH64" s="45">
        <f>IF(AQ64="0",BJ64,0)</f>
        <v>0</v>
      </c>
      <c r="AI64" s="22" t="s">
        <v>495</v>
      </c>
      <c r="AJ64" s="45">
        <f>IF(AN64=0,J64,0)</f>
        <v>0</v>
      </c>
      <c r="AK64" s="45">
        <f>IF(AN64=12,J64,0)</f>
        <v>0</v>
      </c>
      <c r="AL64" s="45">
        <f>IF(AN64=21,J64,0)</f>
        <v>0</v>
      </c>
      <c r="AN64" s="45">
        <v>21</v>
      </c>
      <c r="AO64" s="45">
        <f>G64*0.27632</f>
        <v>0</v>
      </c>
      <c r="AP64" s="45">
        <f>G64*(1-0.27632)</f>
        <v>0</v>
      </c>
      <c r="AQ64" s="28" t="s">
        <v>692</v>
      </c>
      <c r="AV64" s="45">
        <f>AW64+AX64</f>
        <v>0</v>
      </c>
      <c r="AW64" s="45">
        <f>F64*AO64</f>
        <v>0</v>
      </c>
      <c r="AX64" s="45">
        <f>F64*AP64</f>
        <v>0</v>
      </c>
      <c r="AY64" s="28" t="s">
        <v>314</v>
      </c>
      <c r="AZ64" s="28" t="s">
        <v>79</v>
      </c>
      <c r="BA64" s="22" t="s">
        <v>544</v>
      </c>
      <c r="BC64" s="45">
        <f>AW64+AX64</f>
        <v>0</v>
      </c>
      <c r="BD64" s="45">
        <f>G64/(100-BE64)*100</f>
        <v>0</v>
      </c>
      <c r="BE64" s="45">
        <v>0</v>
      </c>
      <c r="BF64" s="45">
        <f>64</f>
        <v>64</v>
      </c>
      <c r="BH64" s="45">
        <f>F64*AO64</f>
        <v>0</v>
      </c>
      <c r="BI64" s="45">
        <f>F64*AP64</f>
        <v>0</v>
      </c>
      <c r="BJ64" s="45">
        <f>F64*G64</f>
        <v>0</v>
      </c>
      <c r="BK64" s="45"/>
      <c r="BL64" s="45">
        <v>62</v>
      </c>
      <c r="BW64" s="45">
        <v>21</v>
      </c>
    </row>
    <row r="65" spans="1:75" ht="15" customHeight="1">
      <c r="A65" s="49"/>
      <c r="C65" s="12" t="s">
        <v>569</v>
      </c>
      <c r="D65" s="12" t="s">
        <v>495</v>
      </c>
      <c r="F65" s="47">
        <v>36</v>
      </c>
      <c r="K65" s="16"/>
    </row>
    <row r="66" spans="1:75" ht="15" customHeight="1">
      <c r="A66" s="49"/>
      <c r="C66" s="12" t="s">
        <v>198</v>
      </c>
      <c r="D66" s="12" t="s">
        <v>495</v>
      </c>
      <c r="F66" s="47">
        <v>3.2</v>
      </c>
      <c r="K66" s="16"/>
    </row>
    <row r="67" spans="1:75" ht="15" customHeight="1">
      <c r="A67" s="49"/>
      <c r="C67" s="12" t="s">
        <v>321</v>
      </c>
      <c r="D67" s="12" t="s">
        <v>495</v>
      </c>
      <c r="F67" s="47">
        <v>2</v>
      </c>
      <c r="K67" s="16"/>
    </row>
    <row r="68" spans="1:75" ht="15" customHeight="1">
      <c r="A68" s="49"/>
      <c r="C68" s="12" t="s">
        <v>616</v>
      </c>
      <c r="D68" s="12" t="s">
        <v>495</v>
      </c>
      <c r="F68" s="47">
        <v>8.6000000000000014</v>
      </c>
      <c r="K68" s="16"/>
    </row>
    <row r="69" spans="1:75" ht="15" customHeight="1">
      <c r="A69" s="49"/>
      <c r="C69" s="12" t="s">
        <v>76</v>
      </c>
      <c r="D69" s="12" t="s">
        <v>495</v>
      </c>
      <c r="F69" s="47">
        <v>4.9800000000000004</v>
      </c>
      <c r="K69" s="16"/>
    </row>
    <row r="70" spans="1:75" ht="13.5" customHeight="1">
      <c r="A70" s="15" t="s">
        <v>19</v>
      </c>
      <c r="B70" s="4" t="s">
        <v>33</v>
      </c>
      <c r="C70" s="66" t="s">
        <v>434</v>
      </c>
      <c r="D70" s="63"/>
      <c r="E70" s="4" t="s">
        <v>584</v>
      </c>
      <c r="F70" s="45">
        <v>99.51</v>
      </c>
      <c r="G70" s="45">
        <v>0</v>
      </c>
      <c r="H70" s="45">
        <f>F70*AO70</f>
        <v>0</v>
      </c>
      <c r="I70" s="45">
        <f>F70*AP70</f>
        <v>0</v>
      </c>
      <c r="J70" s="45">
        <f>F70*G70</f>
        <v>0</v>
      </c>
      <c r="K70" s="43" t="s">
        <v>319</v>
      </c>
      <c r="Z70" s="45">
        <f>IF(AQ70="5",BJ70,0)</f>
        <v>0</v>
      </c>
      <c r="AB70" s="45">
        <f>IF(AQ70="1",BH70,0)</f>
        <v>0</v>
      </c>
      <c r="AC70" s="45">
        <f>IF(AQ70="1",BI70,0)</f>
        <v>0</v>
      </c>
      <c r="AD70" s="45">
        <f>IF(AQ70="7",BH70,0)</f>
        <v>0</v>
      </c>
      <c r="AE70" s="45">
        <f>IF(AQ70="7",BI70,0)</f>
        <v>0</v>
      </c>
      <c r="AF70" s="45">
        <f>IF(AQ70="2",BH70,0)</f>
        <v>0</v>
      </c>
      <c r="AG70" s="45">
        <f>IF(AQ70="2",BI70,0)</f>
        <v>0</v>
      </c>
      <c r="AH70" s="45">
        <f>IF(AQ70="0",BJ70,0)</f>
        <v>0</v>
      </c>
      <c r="AI70" s="22" t="s">
        <v>495</v>
      </c>
      <c r="AJ70" s="45">
        <f>IF(AN70=0,J70,0)</f>
        <v>0</v>
      </c>
      <c r="AK70" s="45">
        <f>IF(AN70=12,J70,0)</f>
        <v>0</v>
      </c>
      <c r="AL70" s="45">
        <f>IF(AN70=21,J70,0)</f>
        <v>0</v>
      </c>
      <c r="AN70" s="45">
        <v>21</v>
      </c>
      <c r="AO70" s="45">
        <f>G70*0.515749847535621</f>
        <v>0</v>
      </c>
      <c r="AP70" s="45">
        <f>G70*(1-0.515749847535621)</f>
        <v>0</v>
      </c>
      <c r="AQ70" s="28" t="s">
        <v>692</v>
      </c>
      <c r="AV70" s="45">
        <f>AW70+AX70</f>
        <v>0</v>
      </c>
      <c r="AW70" s="45">
        <f>F70*AO70</f>
        <v>0</v>
      </c>
      <c r="AX70" s="45">
        <f>F70*AP70</f>
        <v>0</v>
      </c>
      <c r="AY70" s="28" t="s">
        <v>314</v>
      </c>
      <c r="AZ70" s="28" t="s">
        <v>79</v>
      </c>
      <c r="BA70" s="22" t="s">
        <v>544</v>
      </c>
      <c r="BC70" s="45">
        <f>AW70+AX70</f>
        <v>0</v>
      </c>
      <c r="BD70" s="45">
        <f>G70/(100-BE70)*100</f>
        <v>0</v>
      </c>
      <c r="BE70" s="45">
        <v>0</v>
      </c>
      <c r="BF70" s="45">
        <f>70</f>
        <v>70</v>
      </c>
      <c r="BH70" s="45">
        <f>F70*AO70</f>
        <v>0</v>
      </c>
      <c r="BI70" s="45">
        <f>F70*AP70</f>
        <v>0</v>
      </c>
      <c r="BJ70" s="45">
        <f>F70*G70</f>
        <v>0</v>
      </c>
      <c r="BK70" s="45"/>
      <c r="BL70" s="45">
        <v>62</v>
      </c>
      <c r="BW70" s="45">
        <v>21</v>
      </c>
    </row>
    <row r="71" spans="1:75" ht="15" customHeight="1">
      <c r="A71" s="49"/>
      <c r="C71" s="12" t="s">
        <v>361</v>
      </c>
      <c r="D71" s="12" t="s">
        <v>495</v>
      </c>
      <c r="F71" s="47">
        <v>99.51</v>
      </c>
      <c r="K71" s="16"/>
    </row>
    <row r="72" spans="1:75" ht="13.5" customHeight="1">
      <c r="A72" s="15" t="s">
        <v>503</v>
      </c>
      <c r="B72" s="4" t="s">
        <v>454</v>
      </c>
      <c r="C72" s="66" t="s">
        <v>253</v>
      </c>
      <c r="D72" s="63"/>
      <c r="E72" s="4" t="s">
        <v>584</v>
      </c>
      <c r="F72" s="45">
        <v>21.45</v>
      </c>
      <c r="G72" s="45">
        <v>0</v>
      </c>
      <c r="H72" s="45">
        <f>F72*AO72</f>
        <v>0</v>
      </c>
      <c r="I72" s="45">
        <f>F72*AP72</f>
        <v>0</v>
      </c>
      <c r="J72" s="45">
        <f>F72*G72</f>
        <v>0</v>
      </c>
      <c r="K72" s="43" t="s">
        <v>319</v>
      </c>
      <c r="Z72" s="45">
        <f>IF(AQ72="5",BJ72,0)</f>
        <v>0</v>
      </c>
      <c r="AB72" s="45">
        <f>IF(AQ72="1",BH72,0)</f>
        <v>0</v>
      </c>
      <c r="AC72" s="45">
        <f>IF(AQ72="1",BI72,0)</f>
        <v>0</v>
      </c>
      <c r="AD72" s="45">
        <f>IF(AQ72="7",BH72,0)</f>
        <v>0</v>
      </c>
      <c r="AE72" s="45">
        <f>IF(AQ72="7",BI72,0)</f>
        <v>0</v>
      </c>
      <c r="AF72" s="45">
        <f>IF(AQ72="2",BH72,0)</f>
        <v>0</v>
      </c>
      <c r="AG72" s="45">
        <f>IF(AQ72="2",BI72,0)</f>
        <v>0</v>
      </c>
      <c r="AH72" s="45">
        <f>IF(AQ72="0",BJ72,0)</f>
        <v>0</v>
      </c>
      <c r="AI72" s="22" t="s">
        <v>495</v>
      </c>
      <c r="AJ72" s="45">
        <f>IF(AN72=0,J72,0)</f>
        <v>0</v>
      </c>
      <c r="AK72" s="45">
        <f>IF(AN72=12,J72,0)</f>
        <v>0</v>
      </c>
      <c r="AL72" s="45">
        <f>IF(AN72=21,J72,0)</f>
        <v>0</v>
      </c>
      <c r="AN72" s="45">
        <v>21</v>
      </c>
      <c r="AO72" s="45">
        <f>G72*0.226068376068376</f>
        <v>0</v>
      </c>
      <c r="AP72" s="45">
        <f>G72*(1-0.226068376068376)</f>
        <v>0</v>
      </c>
      <c r="AQ72" s="28" t="s">
        <v>692</v>
      </c>
      <c r="AV72" s="45">
        <f>AW72+AX72</f>
        <v>0</v>
      </c>
      <c r="AW72" s="45">
        <f>F72*AO72</f>
        <v>0</v>
      </c>
      <c r="AX72" s="45">
        <f>F72*AP72</f>
        <v>0</v>
      </c>
      <c r="AY72" s="28" t="s">
        <v>314</v>
      </c>
      <c r="AZ72" s="28" t="s">
        <v>79</v>
      </c>
      <c r="BA72" s="22" t="s">
        <v>544</v>
      </c>
      <c r="BC72" s="45">
        <f>AW72+AX72</f>
        <v>0</v>
      </c>
      <c r="BD72" s="45">
        <f>G72/(100-BE72)*100</f>
        <v>0</v>
      </c>
      <c r="BE72" s="45">
        <v>0</v>
      </c>
      <c r="BF72" s="45">
        <f>72</f>
        <v>72</v>
      </c>
      <c r="BH72" s="45">
        <f>F72*AO72</f>
        <v>0</v>
      </c>
      <c r="BI72" s="45">
        <f>F72*AP72</f>
        <v>0</v>
      </c>
      <c r="BJ72" s="45">
        <f>F72*G72</f>
        <v>0</v>
      </c>
      <c r="BK72" s="45"/>
      <c r="BL72" s="45">
        <v>62</v>
      </c>
      <c r="BW72" s="45">
        <v>21</v>
      </c>
    </row>
    <row r="73" spans="1:75" ht="15" customHeight="1">
      <c r="A73" s="49"/>
      <c r="C73" s="12" t="s">
        <v>191</v>
      </c>
      <c r="D73" s="12" t="s">
        <v>495</v>
      </c>
      <c r="F73" s="47">
        <v>21.450000000000003</v>
      </c>
      <c r="K73" s="16"/>
    </row>
    <row r="74" spans="1:75" ht="13.5" customHeight="1">
      <c r="A74" s="15" t="s">
        <v>670</v>
      </c>
      <c r="B74" s="4" t="s">
        <v>238</v>
      </c>
      <c r="C74" s="66" t="s">
        <v>342</v>
      </c>
      <c r="D74" s="63"/>
      <c r="E74" s="4" t="s">
        <v>584</v>
      </c>
      <c r="F74" s="45">
        <v>67.099999999999994</v>
      </c>
      <c r="G74" s="45">
        <v>0</v>
      </c>
      <c r="H74" s="45">
        <f>F74*AO74</f>
        <v>0</v>
      </c>
      <c r="I74" s="45">
        <f>F74*AP74</f>
        <v>0</v>
      </c>
      <c r="J74" s="45">
        <f>F74*G74</f>
        <v>0</v>
      </c>
      <c r="K74" s="43" t="s">
        <v>319</v>
      </c>
      <c r="Z74" s="45">
        <f>IF(AQ74="5",BJ74,0)</f>
        <v>0</v>
      </c>
      <c r="AB74" s="45">
        <f>IF(AQ74="1",BH74,0)</f>
        <v>0</v>
      </c>
      <c r="AC74" s="45">
        <f>IF(AQ74="1",BI74,0)</f>
        <v>0</v>
      </c>
      <c r="AD74" s="45">
        <f>IF(AQ74="7",BH74,0)</f>
        <v>0</v>
      </c>
      <c r="AE74" s="45">
        <f>IF(AQ74="7",BI74,0)</f>
        <v>0</v>
      </c>
      <c r="AF74" s="45">
        <f>IF(AQ74="2",BH74,0)</f>
        <v>0</v>
      </c>
      <c r="AG74" s="45">
        <f>IF(AQ74="2",BI74,0)</f>
        <v>0</v>
      </c>
      <c r="AH74" s="45">
        <f>IF(AQ74="0",BJ74,0)</f>
        <v>0</v>
      </c>
      <c r="AI74" s="22" t="s">
        <v>495</v>
      </c>
      <c r="AJ74" s="45">
        <f>IF(AN74=0,J74,0)</f>
        <v>0</v>
      </c>
      <c r="AK74" s="45">
        <f>IF(AN74=12,J74,0)</f>
        <v>0</v>
      </c>
      <c r="AL74" s="45">
        <f>IF(AN74=21,J74,0)</f>
        <v>0</v>
      </c>
      <c r="AN74" s="45">
        <v>21</v>
      </c>
      <c r="AO74" s="45">
        <f>G74*0.308702290076336</f>
        <v>0</v>
      </c>
      <c r="AP74" s="45">
        <f>G74*(1-0.308702290076336)</f>
        <v>0</v>
      </c>
      <c r="AQ74" s="28" t="s">
        <v>692</v>
      </c>
      <c r="AV74" s="45">
        <f>AW74+AX74</f>
        <v>0</v>
      </c>
      <c r="AW74" s="45">
        <f>F74*AO74</f>
        <v>0</v>
      </c>
      <c r="AX74" s="45">
        <f>F74*AP74</f>
        <v>0</v>
      </c>
      <c r="AY74" s="28" t="s">
        <v>314</v>
      </c>
      <c r="AZ74" s="28" t="s">
        <v>79</v>
      </c>
      <c r="BA74" s="22" t="s">
        <v>544</v>
      </c>
      <c r="BC74" s="45">
        <f>AW74+AX74</f>
        <v>0</v>
      </c>
      <c r="BD74" s="45">
        <f>G74/(100-BE74)*100</f>
        <v>0</v>
      </c>
      <c r="BE74" s="45">
        <v>0</v>
      </c>
      <c r="BF74" s="45">
        <f>74</f>
        <v>74</v>
      </c>
      <c r="BH74" s="45">
        <f>F74*AO74</f>
        <v>0</v>
      </c>
      <c r="BI74" s="45">
        <f>F74*AP74</f>
        <v>0</v>
      </c>
      <c r="BJ74" s="45">
        <f>F74*G74</f>
        <v>0</v>
      </c>
      <c r="BK74" s="45"/>
      <c r="BL74" s="45">
        <v>62</v>
      </c>
      <c r="BW74" s="45">
        <v>21</v>
      </c>
    </row>
    <row r="75" spans="1:75" ht="15" customHeight="1">
      <c r="A75" s="49"/>
      <c r="C75" s="12" t="s">
        <v>174</v>
      </c>
      <c r="D75" s="12" t="s">
        <v>495</v>
      </c>
      <c r="F75" s="47">
        <v>67.100000000000009</v>
      </c>
      <c r="K75" s="16"/>
    </row>
    <row r="76" spans="1:75" ht="13.5" customHeight="1">
      <c r="A76" s="15" t="s">
        <v>317</v>
      </c>
      <c r="B76" s="4" t="s">
        <v>260</v>
      </c>
      <c r="C76" s="66" t="s">
        <v>545</v>
      </c>
      <c r="D76" s="63"/>
      <c r="E76" s="4" t="s">
        <v>584</v>
      </c>
      <c r="F76" s="45">
        <v>64.459999999999994</v>
      </c>
      <c r="G76" s="45">
        <v>0</v>
      </c>
      <c r="H76" s="45">
        <f>F76*AO76</f>
        <v>0</v>
      </c>
      <c r="I76" s="45">
        <f>F76*AP76</f>
        <v>0</v>
      </c>
      <c r="J76" s="45">
        <f>F76*G76</f>
        <v>0</v>
      </c>
      <c r="K76" s="43" t="s">
        <v>319</v>
      </c>
      <c r="Z76" s="45">
        <f>IF(AQ76="5",BJ76,0)</f>
        <v>0</v>
      </c>
      <c r="AB76" s="45">
        <f>IF(AQ76="1",BH76,0)</f>
        <v>0</v>
      </c>
      <c r="AC76" s="45">
        <f>IF(AQ76="1",BI76,0)</f>
        <v>0</v>
      </c>
      <c r="AD76" s="45">
        <f>IF(AQ76="7",BH76,0)</f>
        <v>0</v>
      </c>
      <c r="AE76" s="45">
        <f>IF(AQ76="7",BI76,0)</f>
        <v>0</v>
      </c>
      <c r="AF76" s="45">
        <f>IF(AQ76="2",BH76,0)</f>
        <v>0</v>
      </c>
      <c r="AG76" s="45">
        <f>IF(AQ76="2",BI76,0)</f>
        <v>0</v>
      </c>
      <c r="AH76" s="45">
        <f>IF(AQ76="0",BJ76,0)</f>
        <v>0</v>
      </c>
      <c r="AI76" s="22" t="s">
        <v>495</v>
      </c>
      <c r="AJ76" s="45">
        <f>IF(AN76=0,J76,0)</f>
        <v>0</v>
      </c>
      <c r="AK76" s="45">
        <f>IF(AN76=12,J76,0)</f>
        <v>0</v>
      </c>
      <c r="AL76" s="45">
        <f>IF(AN76=21,J76,0)</f>
        <v>0</v>
      </c>
      <c r="AN76" s="45">
        <v>21</v>
      </c>
      <c r="AO76" s="45">
        <f>G76*0.655466666666667</f>
        <v>0</v>
      </c>
      <c r="AP76" s="45">
        <f>G76*(1-0.655466666666667)</f>
        <v>0</v>
      </c>
      <c r="AQ76" s="28" t="s">
        <v>692</v>
      </c>
      <c r="AV76" s="45">
        <f>AW76+AX76</f>
        <v>0</v>
      </c>
      <c r="AW76" s="45">
        <f>F76*AO76</f>
        <v>0</v>
      </c>
      <c r="AX76" s="45">
        <f>F76*AP76</f>
        <v>0</v>
      </c>
      <c r="AY76" s="28" t="s">
        <v>314</v>
      </c>
      <c r="AZ76" s="28" t="s">
        <v>79</v>
      </c>
      <c r="BA76" s="22" t="s">
        <v>544</v>
      </c>
      <c r="BC76" s="45">
        <f>AW76+AX76</f>
        <v>0</v>
      </c>
      <c r="BD76" s="45">
        <f>G76/(100-BE76)*100</f>
        <v>0</v>
      </c>
      <c r="BE76" s="45">
        <v>0</v>
      </c>
      <c r="BF76" s="45">
        <f>76</f>
        <v>76</v>
      </c>
      <c r="BH76" s="45">
        <f>F76*AO76</f>
        <v>0</v>
      </c>
      <c r="BI76" s="45">
        <f>F76*AP76</f>
        <v>0</v>
      </c>
      <c r="BJ76" s="45">
        <f>F76*G76</f>
        <v>0</v>
      </c>
      <c r="BK76" s="45"/>
      <c r="BL76" s="45">
        <v>62</v>
      </c>
      <c r="BW76" s="45">
        <v>21</v>
      </c>
    </row>
    <row r="77" spans="1:75" ht="15" customHeight="1">
      <c r="A77" s="49"/>
      <c r="C77" s="12" t="s">
        <v>590</v>
      </c>
      <c r="D77" s="12" t="s">
        <v>495</v>
      </c>
      <c r="F77" s="47">
        <v>64.460000000000008</v>
      </c>
      <c r="K77" s="16"/>
    </row>
    <row r="78" spans="1:75" ht="13.5" customHeight="1">
      <c r="A78" s="15" t="s">
        <v>52</v>
      </c>
      <c r="B78" s="4" t="s">
        <v>364</v>
      </c>
      <c r="C78" s="66" t="s">
        <v>447</v>
      </c>
      <c r="D78" s="63"/>
      <c r="E78" s="4" t="s">
        <v>584</v>
      </c>
      <c r="F78" s="45">
        <v>64.790000000000006</v>
      </c>
      <c r="G78" s="45">
        <v>0</v>
      </c>
      <c r="H78" s="45">
        <f>F78*AO78</f>
        <v>0</v>
      </c>
      <c r="I78" s="45">
        <f>F78*AP78</f>
        <v>0</v>
      </c>
      <c r="J78" s="45">
        <f>F78*G78</f>
        <v>0</v>
      </c>
      <c r="K78" s="43" t="s">
        <v>319</v>
      </c>
      <c r="Z78" s="45">
        <f>IF(AQ78="5",BJ78,0)</f>
        <v>0</v>
      </c>
      <c r="AB78" s="45">
        <f>IF(AQ78="1",BH78,0)</f>
        <v>0</v>
      </c>
      <c r="AC78" s="45">
        <f>IF(AQ78="1",BI78,0)</f>
        <v>0</v>
      </c>
      <c r="AD78" s="45">
        <f>IF(AQ78="7",BH78,0)</f>
        <v>0</v>
      </c>
      <c r="AE78" s="45">
        <f>IF(AQ78="7",BI78,0)</f>
        <v>0</v>
      </c>
      <c r="AF78" s="45">
        <f>IF(AQ78="2",BH78,0)</f>
        <v>0</v>
      </c>
      <c r="AG78" s="45">
        <f>IF(AQ78="2",BI78,0)</f>
        <v>0</v>
      </c>
      <c r="AH78" s="45">
        <f>IF(AQ78="0",BJ78,0)</f>
        <v>0</v>
      </c>
      <c r="AI78" s="22" t="s">
        <v>495</v>
      </c>
      <c r="AJ78" s="45">
        <f>IF(AN78=0,J78,0)</f>
        <v>0</v>
      </c>
      <c r="AK78" s="45">
        <f>IF(AN78=12,J78,0)</f>
        <v>0</v>
      </c>
      <c r="AL78" s="45">
        <f>IF(AN78=21,J78,0)</f>
        <v>0</v>
      </c>
      <c r="AN78" s="45">
        <v>21</v>
      </c>
      <c r="AO78" s="45">
        <f>G78*0.693192612137203</f>
        <v>0</v>
      </c>
      <c r="AP78" s="45">
        <f>G78*(1-0.693192612137203)</f>
        <v>0</v>
      </c>
      <c r="AQ78" s="28" t="s">
        <v>692</v>
      </c>
      <c r="AV78" s="45">
        <f>AW78+AX78</f>
        <v>0</v>
      </c>
      <c r="AW78" s="45">
        <f>F78*AO78</f>
        <v>0</v>
      </c>
      <c r="AX78" s="45">
        <f>F78*AP78</f>
        <v>0</v>
      </c>
      <c r="AY78" s="28" t="s">
        <v>314</v>
      </c>
      <c r="AZ78" s="28" t="s">
        <v>79</v>
      </c>
      <c r="BA78" s="22" t="s">
        <v>544</v>
      </c>
      <c r="BC78" s="45">
        <f>AW78+AX78</f>
        <v>0</v>
      </c>
      <c r="BD78" s="45">
        <f>G78/(100-BE78)*100</f>
        <v>0</v>
      </c>
      <c r="BE78" s="45">
        <v>0</v>
      </c>
      <c r="BF78" s="45">
        <f>78</f>
        <v>78</v>
      </c>
      <c r="BH78" s="45">
        <f>F78*AO78</f>
        <v>0</v>
      </c>
      <c r="BI78" s="45">
        <f>F78*AP78</f>
        <v>0</v>
      </c>
      <c r="BJ78" s="45">
        <f>F78*G78</f>
        <v>0</v>
      </c>
      <c r="BK78" s="45"/>
      <c r="BL78" s="45">
        <v>62</v>
      </c>
      <c r="BW78" s="45">
        <v>21</v>
      </c>
    </row>
    <row r="79" spans="1:75" ht="15" customHeight="1">
      <c r="A79" s="49"/>
      <c r="C79" s="12" t="s">
        <v>546</v>
      </c>
      <c r="D79" s="12" t="s">
        <v>495</v>
      </c>
      <c r="F79" s="47">
        <v>64.790000000000006</v>
      </c>
      <c r="K79" s="16"/>
    </row>
    <row r="80" spans="1:75" ht="13.5" customHeight="1">
      <c r="A80" s="15" t="s">
        <v>167</v>
      </c>
      <c r="B80" s="4" t="s">
        <v>369</v>
      </c>
      <c r="C80" s="66" t="s">
        <v>230</v>
      </c>
      <c r="D80" s="63"/>
      <c r="E80" s="4" t="s">
        <v>686</v>
      </c>
      <c r="F80" s="45">
        <v>38.85</v>
      </c>
      <c r="G80" s="45">
        <v>0</v>
      </c>
      <c r="H80" s="45">
        <f>F80*AO80</f>
        <v>0</v>
      </c>
      <c r="I80" s="45">
        <f>F80*AP80</f>
        <v>0</v>
      </c>
      <c r="J80" s="45">
        <f>F80*G80</f>
        <v>0</v>
      </c>
      <c r="K80" s="43" t="s">
        <v>319</v>
      </c>
      <c r="Z80" s="45">
        <f>IF(AQ80="5",BJ80,0)</f>
        <v>0</v>
      </c>
      <c r="AB80" s="45">
        <f>IF(AQ80="1",BH80,0)</f>
        <v>0</v>
      </c>
      <c r="AC80" s="45">
        <f>IF(AQ80="1",BI80,0)</f>
        <v>0</v>
      </c>
      <c r="AD80" s="45">
        <f>IF(AQ80="7",BH80,0)</f>
        <v>0</v>
      </c>
      <c r="AE80" s="45">
        <f>IF(AQ80="7",BI80,0)</f>
        <v>0</v>
      </c>
      <c r="AF80" s="45">
        <f>IF(AQ80="2",BH80,0)</f>
        <v>0</v>
      </c>
      <c r="AG80" s="45">
        <f>IF(AQ80="2",BI80,0)</f>
        <v>0</v>
      </c>
      <c r="AH80" s="45">
        <f>IF(AQ80="0",BJ80,0)</f>
        <v>0</v>
      </c>
      <c r="AI80" s="22" t="s">
        <v>495</v>
      </c>
      <c r="AJ80" s="45">
        <f>IF(AN80=0,J80,0)</f>
        <v>0</v>
      </c>
      <c r="AK80" s="45">
        <f>IF(AN80=12,J80,0)</f>
        <v>0</v>
      </c>
      <c r="AL80" s="45">
        <f>IF(AN80=21,J80,0)</f>
        <v>0</v>
      </c>
      <c r="AN80" s="45">
        <v>21</v>
      </c>
      <c r="AO80" s="45">
        <f>G80*0.738574074074074</f>
        <v>0</v>
      </c>
      <c r="AP80" s="45">
        <f>G80*(1-0.738574074074074)</f>
        <v>0</v>
      </c>
      <c r="AQ80" s="28" t="s">
        <v>692</v>
      </c>
      <c r="AV80" s="45">
        <f>AW80+AX80</f>
        <v>0</v>
      </c>
      <c r="AW80" s="45">
        <f>F80*AO80</f>
        <v>0</v>
      </c>
      <c r="AX80" s="45">
        <f>F80*AP80</f>
        <v>0</v>
      </c>
      <c r="AY80" s="28" t="s">
        <v>314</v>
      </c>
      <c r="AZ80" s="28" t="s">
        <v>79</v>
      </c>
      <c r="BA80" s="22" t="s">
        <v>544</v>
      </c>
      <c r="BC80" s="45">
        <f>AW80+AX80</f>
        <v>0</v>
      </c>
      <c r="BD80" s="45">
        <f>G80/(100-BE80)*100</f>
        <v>0</v>
      </c>
      <c r="BE80" s="45">
        <v>0</v>
      </c>
      <c r="BF80" s="45">
        <f>80</f>
        <v>80</v>
      </c>
      <c r="BH80" s="45">
        <f>F80*AO80</f>
        <v>0</v>
      </c>
      <c r="BI80" s="45">
        <f>F80*AP80</f>
        <v>0</v>
      </c>
      <c r="BJ80" s="45">
        <f>F80*G80</f>
        <v>0</v>
      </c>
      <c r="BK80" s="45"/>
      <c r="BL80" s="45">
        <v>62</v>
      </c>
      <c r="BW80" s="45">
        <v>21</v>
      </c>
    </row>
    <row r="81" spans="1:75" ht="15" customHeight="1">
      <c r="A81" s="49"/>
      <c r="C81" s="12" t="s">
        <v>320</v>
      </c>
      <c r="D81" s="12" t="s">
        <v>495</v>
      </c>
      <c r="F81" s="47">
        <v>38.85</v>
      </c>
      <c r="K81" s="16"/>
    </row>
    <row r="82" spans="1:75" ht="13.5" customHeight="1">
      <c r="A82" s="15" t="s">
        <v>78</v>
      </c>
      <c r="B82" s="4" t="s">
        <v>77</v>
      </c>
      <c r="C82" s="66" t="s">
        <v>528</v>
      </c>
      <c r="D82" s="63"/>
      <c r="E82" s="4" t="s">
        <v>686</v>
      </c>
      <c r="F82" s="45">
        <v>55.65</v>
      </c>
      <c r="G82" s="45">
        <v>0</v>
      </c>
      <c r="H82" s="45">
        <f>F82*AO82</f>
        <v>0</v>
      </c>
      <c r="I82" s="45">
        <f>F82*AP82</f>
        <v>0</v>
      </c>
      <c r="J82" s="45">
        <f>F82*G82</f>
        <v>0</v>
      </c>
      <c r="K82" s="43" t="s">
        <v>319</v>
      </c>
      <c r="Z82" s="45">
        <f>IF(AQ82="5",BJ82,0)</f>
        <v>0</v>
      </c>
      <c r="AB82" s="45">
        <f>IF(AQ82="1",BH82,0)</f>
        <v>0</v>
      </c>
      <c r="AC82" s="45">
        <f>IF(AQ82="1",BI82,0)</f>
        <v>0</v>
      </c>
      <c r="AD82" s="45">
        <f>IF(AQ82="7",BH82,0)</f>
        <v>0</v>
      </c>
      <c r="AE82" s="45">
        <f>IF(AQ82="7",BI82,0)</f>
        <v>0</v>
      </c>
      <c r="AF82" s="45">
        <f>IF(AQ82="2",BH82,0)</f>
        <v>0</v>
      </c>
      <c r="AG82" s="45">
        <f>IF(AQ82="2",BI82,0)</f>
        <v>0</v>
      </c>
      <c r="AH82" s="45">
        <f>IF(AQ82="0",BJ82,0)</f>
        <v>0</v>
      </c>
      <c r="AI82" s="22" t="s">
        <v>495</v>
      </c>
      <c r="AJ82" s="45">
        <f>IF(AN82=0,J82,0)</f>
        <v>0</v>
      </c>
      <c r="AK82" s="45">
        <f>IF(AN82=12,J82,0)</f>
        <v>0</v>
      </c>
      <c r="AL82" s="45">
        <f>IF(AN82=21,J82,0)</f>
        <v>0</v>
      </c>
      <c r="AN82" s="45">
        <v>21</v>
      </c>
      <c r="AO82" s="45">
        <f>G82*0.778071317829457</f>
        <v>0</v>
      </c>
      <c r="AP82" s="45">
        <f>G82*(1-0.778071317829457)</f>
        <v>0</v>
      </c>
      <c r="AQ82" s="28" t="s">
        <v>692</v>
      </c>
      <c r="AV82" s="45">
        <f>AW82+AX82</f>
        <v>0</v>
      </c>
      <c r="AW82" s="45">
        <f>F82*AO82</f>
        <v>0</v>
      </c>
      <c r="AX82" s="45">
        <f>F82*AP82</f>
        <v>0</v>
      </c>
      <c r="AY82" s="28" t="s">
        <v>314</v>
      </c>
      <c r="AZ82" s="28" t="s">
        <v>79</v>
      </c>
      <c r="BA82" s="22" t="s">
        <v>544</v>
      </c>
      <c r="BC82" s="45">
        <f>AW82+AX82</f>
        <v>0</v>
      </c>
      <c r="BD82" s="45">
        <f>G82/(100-BE82)*100</f>
        <v>0</v>
      </c>
      <c r="BE82" s="45">
        <v>0</v>
      </c>
      <c r="BF82" s="45">
        <f>82</f>
        <v>82</v>
      </c>
      <c r="BH82" s="45">
        <f>F82*AO82</f>
        <v>0</v>
      </c>
      <c r="BI82" s="45">
        <f>F82*AP82</f>
        <v>0</v>
      </c>
      <c r="BJ82" s="45">
        <f>F82*G82</f>
        <v>0</v>
      </c>
      <c r="BK82" s="45"/>
      <c r="BL82" s="45">
        <v>62</v>
      </c>
      <c r="BW82" s="45">
        <v>21</v>
      </c>
    </row>
    <row r="83" spans="1:75" ht="15" customHeight="1">
      <c r="A83" s="49"/>
      <c r="C83" s="12" t="s">
        <v>541</v>
      </c>
      <c r="D83" s="12" t="s">
        <v>495</v>
      </c>
      <c r="F83" s="47">
        <v>55.650000000000006</v>
      </c>
      <c r="K83" s="16"/>
    </row>
    <row r="84" spans="1:75" ht="13.5" customHeight="1">
      <c r="A84" s="15" t="s">
        <v>682</v>
      </c>
      <c r="B84" s="4" t="s">
        <v>611</v>
      </c>
      <c r="C84" s="66" t="s">
        <v>685</v>
      </c>
      <c r="D84" s="63"/>
      <c r="E84" s="4" t="s">
        <v>686</v>
      </c>
      <c r="F84" s="45">
        <v>102.27</v>
      </c>
      <c r="G84" s="45">
        <v>0</v>
      </c>
      <c r="H84" s="45">
        <f>F84*AO84</f>
        <v>0</v>
      </c>
      <c r="I84" s="45">
        <f>F84*AP84</f>
        <v>0</v>
      </c>
      <c r="J84" s="45">
        <f>F84*G84</f>
        <v>0</v>
      </c>
      <c r="K84" s="43" t="s">
        <v>319</v>
      </c>
      <c r="Z84" s="45">
        <f>IF(AQ84="5",BJ84,0)</f>
        <v>0</v>
      </c>
      <c r="AB84" s="45">
        <f>IF(AQ84="1",BH84,0)</f>
        <v>0</v>
      </c>
      <c r="AC84" s="45">
        <f>IF(AQ84="1",BI84,0)</f>
        <v>0</v>
      </c>
      <c r="AD84" s="45">
        <f>IF(AQ84="7",BH84,0)</f>
        <v>0</v>
      </c>
      <c r="AE84" s="45">
        <f>IF(AQ84="7",BI84,0)</f>
        <v>0</v>
      </c>
      <c r="AF84" s="45">
        <f>IF(AQ84="2",BH84,0)</f>
        <v>0</v>
      </c>
      <c r="AG84" s="45">
        <f>IF(AQ84="2",BI84,0)</f>
        <v>0</v>
      </c>
      <c r="AH84" s="45">
        <f>IF(AQ84="0",BJ84,0)</f>
        <v>0</v>
      </c>
      <c r="AI84" s="22" t="s">
        <v>495</v>
      </c>
      <c r="AJ84" s="45">
        <f>IF(AN84=0,J84,0)</f>
        <v>0</v>
      </c>
      <c r="AK84" s="45">
        <f>IF(AN84=12,J84,0)</f>
        <v>0</v>
      </c>
      <c r="AL84" s="45">
        <f>IF(AN84=21,J84,0)</f>
        <v>0</v>
      </c>
      <c r="AN84" s="45">
        <v>21</v>
      </c>
      <c r="AO84" s="45">
        <f>G84*0.713069105691057</f>
        <v>0</v>
      </c>
      <c r="AP84" s="45">
        <f>G84*(1-0.713069105691057)</f>
        <v>0</v>
      </c>
      <c r="AQ84" s="28" t="s">
        <v>692</v>
      </c>
      <c r="AV84" s="45">
        <f>AW84+AX84</f>
        <v>0</v>
      </c>
      <c r="AW84" s="45">
        <f>F84*AO84</f>
        <v>0</v>
      </c>
      <c r="AX84" s="45">
        <f>F84*AP84</f>
        <v>0</v>
      </c>
      <c r="AY84" s="28" t="s">
        <v>314</v>
      </c>
      <c r="AZ84" s="28" t="s">
        <v>79</v>
      </c>
      <c r="BA84" s="22" t="s">
        <v>544</v>
      </c>
      <c r="BC84" s="45">
        <f>AW84+AX84</f>
        <v>0</v>
      </c>
      <c r="BD84" s="45">
        <f>G84/(100-BE84)*100</f>
        <v>0</v>
      </c>
      <c r="BE84" s="45">
        <v>0</v>
      </c>
      <c r="BF84" s="45">
        <f>84</f>
        <v>84</v>
      </c>
      <c r="BH84" s="45">
        <f>F84*AO84</f>
        <v>0</v>
      </c>
      <c r="BI84" s="45">
        <f>F84*AP84</f>
        <v>0</v>
      </c>
      <c r="BJ84" s="45">
        <f>F84*G84</f>
        <v>0</v>
      </c>
      <c r="BK84" s="45"/>
      <c r="BL84" s="45">
        <v>62</v>
      </c>
      <c r="BW84" s="45">
        <v>21</v>
      </c>
    </row>
    <row r="85" spans="1:75" ht="15" customHeight="1">
      <c r="A85" s="49"/>
      <c r="C85" s="12" t="s">
        <v>98</v>
      </c>
      <c r="D85" s="12" t="s">
        <v>495</v>
      </c>
      <c r="F85" s="47">
        <v>31.76</v>
      </c>
      <c r="K85" s="16"/>
    </row>
    <row r="86" spans="1:75" ht="15" customHeight="1">
      <c r="A86" s="49"/>
      <c r="C86" s="12" t="s">
        <v>621</v>
      </c>
      <c r="D86" s="12" t="s">
        <v>495</v>
      </c>
      <c r="F86" s="47">
        <v>22.78</v>
      </c>
      <c r="K86" s="16"/>
    </row>
    <row r="87" spans="1:75" ht="15" customHeight="1">
      <c r="A87" s="49"/>
      <c r="C87" s="12" t="s">
        <v>131</v>
      </c>
      <c r="D87" s="12" t="s">
        <v>495</v>
      </c>
      <c r="F87" s="47">
        <v>23.1</v>
      </c>
      <c r="K87" s="16"/>
    </row>
    <row r="88" spans="1:75" ht="15" customHeight="1">
      <c r="A88" s="49"/>
      <c r="C88" s="12" t="s">
        <v>490</v>
      </c>
      <c r="D88" s="12" t="s">
        <v>495</v>
      </c>
      <c r="F88" s="47">
        <v>19.760000000000002</v>
      </c>
      <c r="K88" s="16"/>
    </row>
    <row r="89" spans="1:75" ht="15" customHeight="1">
      <c r="A89" s="49"/>
      <c r="C89" s="12" t="s">
        <v>82</v>
      </c>
      <c r="D89" s="12" t="s">
        <v>495</v>
      </c>
      <c r="F89" s="47">
        <v>4.87</v>
      </c>
      <c r="K89" s="16"/>
    </row>
    <row r="90" spans="1:75" ht="13.5" customHeight="1">
      <c r="A90" s="15" t="s">
        <v>750</v>
      </c>
      <c r="B90" s="4" t="s">
        <v>10</v>
      </c>
      <c r="C90" s="66" t="s">
        <v>4</v>
      </c>
      <c r="D90" s="63"/>
      <c r="E90" s="4" t="s">
        <v>686</v>
      </c>
      <c r="F90" s="45">
        <v>14.22</v>
      </c>
      <c r="G90" s="45">
        <v>0</v>
      </c>
      <c r="H90" s="45">
        <f>F90*AO90</f>
        <v>0</v>
      </c>
      <c r="I90" s="45">
        <f>F90*AP90</f>
        <v>0</v>
      </c>
      <c r="J90" s="45">
        <f>F90*G90</f>
        <v>0</v>
      </c>
      <c r="K90" s="43" t="s">
        <v>319</v>
      </c>
      <c r="Z90" s="45">
        <f>IF(AQ90="5",BJ90,0)</f>
        <v>0</v>
      </c>
      <c r="AB90" s="45">
        <f>IF(AQ90="1",BH90,0)</f>
        <v>0</v>
      </c>
      <c r="AC90" s="45">
        <f>IF(AQ90="1",BI90,0)</f>
        <v>0</v>
      </c>
      <c r="AD90" s="45">
        <f>IF(AQ90="7",BH90,0)</f>
        <v>0</v>
      </c>
      <c r="AE90" s="45">
        <f>IF(AQ90="7",BI90,0)</f>
        <v>0</v>
      </c>
      <c r="AF90" s="45">
        <f>IF(AQ90="2",BH90,0)</f>
        <v>0</v>
      </c>
      <c r="AG90" s="45">
        <f>IF(AQ90="2",BI90,0)</f>
        <v>0</v>
      </c>
      <c r="AH90" s="45">
        <f>IF(AQ90="0",BJ90,0)</f>
        <v>0</v>
      </c>
      <c r="AI90" s="22" t="s">
        <v>495</v>
      </c>
      <c r="AJ90" s="45">
        <f>IF(AN90=0,J90,0)</f>
        <v>0</v>
      </c>
      <c r="AK90" s="45">
        <f>IF(AN90=12,J90,0)</f>
        <v>0</v>
      </c>
      <c r="AL90" s="45">
        <f>IF(AN90=21,J90,0)</f>
        <v>0</v>
      </c>
      <c r="AN90" s="45">
        <v>21</v>
      </c>
      <c r="AO90" s="45">
        <f>G90*0.479603225806452</f>
        <v>0</v>
      </c>
      <c r="AP90" s="45">
        <f>G90*(1-0.479603225806452)</f>
        <v>0</v>
      </c>
      <c r="AQ90" s="28" t="s">
        <v>692</v>
      </c>
      <c r="AV90" s="45">
        <f>AW90+AX90</f>
        <v>0</v>
      </c>
      <c r="AW90" s="45">
        <f>F90*AO90</f>
        <v>0</v>
      </c>
      <c r="AX90" s="45">
        <f>F90*AP90</f>
        <v>0</v>
      </c>
      <c r="AY90" s="28" t="s">
        <v>314</v>
      </c>
      <c r="AZ90" s="28" t="s">
        <v>79</v>
      </c>
      <c r="BA90" s="22" t="s">
        <v>544</v>
      </c>
      <c r="BC90" s="45">
        <f>AW90+AX90</f>
        <v>0</v>
      </c>
      <c r="BD90" s="45">
        <f>G90/(100-BE90)*100</f>
        <v>0</v>
      </c>
      <c r="BE90" s="45">
        <v>0</v>
      </c>
      <c r="BF90" s="45">
        <f>90</f>
        <v>90</v>
      </c>
      <c r="BH90" s="45">
        <f>F90*AO90</f>
        <v>0</v>
      </c>
      <c r="BI90" s="45">
        <f>F90*AP90</f>
        <v>0</v>
      </c>
      <c r="BJ90" s="45">
        <f>F90*G90</f>
        <v>0</v>
      </c>
      <c r="BK90" s="45"/>
      <c r="BL90" s="45">
        <v>62</v>
      </c>
      <c r="BW90" s="45">
        <v>21</v>
      </c>
    </row>
    <row r="91" spans="1:75" ht="15" customHeight="1">
      <c r="A91" s="49"/>
      <c r="C91" s="12" t="s">
        <v>748</v>
      </c>
      <c r="D91" s="12" t="s">
        <v>495</v>
      </c>
      <c r="F91" s="47">
        <v>14.22</v>
      </c>
      <c r="K91" s="16"/>
    </row>
    <row r="92" spans="1:75" ht="13.5" customHeight="1">
      <c r="A92" s="15" t="s">
        <v>36</v>
      </c>
      <c r="B92" s="4" t="s">
        <v>275</v>
      </c>
      <c r="C92" s="66" t="s">
        <v>693</v>
      </c>
      <c r="D92" s="63"/>
      <c r="E92" s="4" t="s">
        <v>686</v>
      </c>
      <c r="F92" s="45">
        <v>188</v>
      </c>
      <c r="G92" s="45">
        <v>0</v>
      </c>
      <c r="H92" s="45">
        <f>F92*AO92</f>
        <v>0</v>
      </c>
      <c r="I92" s="45">
        <f>F92*AP92</f>
        <v>0</v>
      </c>
      <c r="J92" s="45">
        <f>F92*G92</f>
        <v>0</v>
      </c>
      <c r="K92" s="43" t="s">
        <v>319</v>
      </c>
      <c r="Z92" s="45">
        <f>IF(AQ92="5",BJ92,0)</f>
        <v>0</v>
      </c>
      <c r="AB92" s="45">
        <f>IF(AQ92="1",BH92,0)</f>
        <v>0</v>
      </c>
      <c r="AC92" s="45">
        <f>IF(AQ92="1",BI92,0)</f>
        <v>0</v>
      </c>
      <c r="AD92" s="45">
        <f>IF(AQ92="7",BH92,0)</f>
        <v>0</v>
      </c>
      <c r="AE92" s="45">
        <f>IF(AQ92="7",BI92,0)</f>
        <v>0</v>
      </c>
      <c r="AF92" s="45">
        <f>IF(AQ92="2",BH92,0)</f>
        <v>0</v>
      </c>
      <c r="AG92" s="45">
        <f>IF(AQ92="2",BI92,0)</f>
        <v>0</v>
      </c>
      <c r="AH92" s="45">
        <f>IF(AQ92="0",BJ92,0)</f>
        <v>0</v>
      </c>
      <c r="AI92" s="22" t="s">
        <v>495</v>
      </c>
      <c r="AJ92" s="45">
        <f>IF(AN92=0,J92,0)</f>
        <v>0</v>
      </c>
      <c r="AK92" s="45">
        <f>IF(AN92=12,J92,0)</f>
        <v>0</v>
      </c>
      <c r="AL92" s="45">
        <f>IF(AN92=21,J92,0)</f>
        <v>0</v>
      </c>
      <c r="AN92" s="45">
        <v>21</v>
      </c>
      <c r="AO92" s="45">
        <f>G92*0.0744837758112094</f>
        <v>0</v>
      </c>
      <c r="AP92" s="45">
        <f>G92*(1-0.0744837758112094)</f>
        <v>0</v>
      </c>
      <c r="AQ92" s="28" t="s">
        <v>692</v>
      </c>
      <c r="AV92" s="45">
        <f>AW92+AX92</f>
        <v>0</v>
      </c>
      <c r="AW92" s="45">
        <f>F92*AO92</f>
        <v>0</v>
      </c>
      <c r="AX92" s="45">
        <f>F92*AP92</f>
        <v>0</v>
      </c>
      <c r="AY92" s="28" t="s">
        <v>314</v>
      </c>
      <c r="AZ92" s="28" t="s">
        <v>79</v>
      </c>
      <c r="BA92" s="22" t="s">
        <v>544</v>
      </c>
      <c r="BC92" s="45">
        <f>AW92+AX92</f>
        <v>0</v>
      </c>
      <c r="BD92" s="45">
        <f>G92/(100-BE92)*100</f>
        <v>0</v>
      </c>
      <c r="BE92" s="45">
        <v>0</v>
      </c>
      <c r="BF92" s="45">
        <f>92</f>
        <v>92</v>
      </c>
      <c r="BH92" s="45">
        <f>F92*AO92</f>
        <v>0</v>
      </c>
      <c r="BI92" s="45">
        <f>F92*AP92</f>
        <v>0</v>
      </c>
      <c r="BJ92" s="45">
        <f>F92*G92</f>
        <v>0</v>
      </c>
      <c r="BK92" s="45"/>
      <c r="BL92" s="45">
        <v>62</v>
      </c>
      <c r="BW92" s="45">
        <v>21</v>
      </c>
    </row>
    <row r="93" spans="1:75" ht="15" customHeight="1">
      <c r="A93" s="49"/>
      <c r="C93" s="12" t="s">
        <v>597</v>
      </c>
      <c r="D93" s="12" t="s">
        <v>495</v>
      </c>
      <c r="F93" s="47">
        <v>37</v>
      </c>
      <c r="K93" s="16"/>
    </row>
    <row r="94" spans="1:75" ht="15" customHeight="1">
      <c r="A94" s="49"/>
      <c r="C94" s="12" t="s">
        <v>672</v>
      </c>
      <c r="D94" s="12" t="s">
        <v>495</v>
      </c>
      <c r="F94" s="47">
        <v>53.000000000000007</v>
      </c>
      <c r="K94" s="16"/>
    </row>
    <row r="95" spans="1:75" ht="15" customHeight="1">
      <c r="A95" s="49"/>
      <c r="C95" s="12" t="s">
        <v>197</v>
      </c>
      <c r="D95" s="12" t="s">
        <v>495</v>
      </c>
      <c r="F95" s="47">
        <v>98.000000000000014</v>
      </c>
      <c r="K95" s="16"/>
    </row>
    <row r="96" spans="1:75" ht="13.5" customHeight="1">
      <c r="A96" s="15" t="s">
        <v>459</v>
      </c>
      <c r="B96" s="4" t="s">
        <v>367</v>
      </c>
      <c r="C96" s="66" t="s">
        <v>139</v>
      </c>
      <c r="D96" s="63"/>
      <c r="E96" s="4" t="s">
        <v>686</v>
      </c>
      <c r="F96" s="45">
        <v>188</v>
      </c>
      <c r="G96" s="45">
        <v>0</v>
      </c>
      <c r="H96" s="45">
        <f>F96*AO96</f>
        <v>0</v>
      </c>
      <c r="I96" s="45">
        <f>F96*AP96</f>
        <v>0</v>
      </c>
      <c r="J96" s="45">
        <f>F96*G96</f>
        <v>0</v>
      </c>
      <c r="K96" s="43" t="s">
        <v>319</v>
      </c>
      <c r="Z96" s="45">
        <f>IF(AQ96="5",BJ96,0)</f>
        <v>0</v>
      </c>
      <c r="AB96" s="45">
        <f>IF(AQ96="1",BH96,0)</f>
        <v>0</v>
      </c>
      <c r="AC96" s="45">
        <f>IF(AQ96="1",BI96,0)</f>
        <v>0</v>
      </c>
      <c r="AD96" s="45">
        <f>IF(AQ96="7",BH96,0)</f>
        <v>0</v>
      </c>
      <c r="AE96" s="45">
        <f>IF(AQ96="7",BI96,0)</f>
        <v>0</v>
      </c>
      <c r="AF96" s="45">
        <f>IF(AQ96="2",BH96,0)</f>
        <v>0</v>
      </c>
      <c r="AG96" s="45">
        <f>IF(AQ96="2",BI96,0)</f>
        <v>0</v>
      </c>
      <c r="AH96" s="45">
        <f>IF(AQ96="0",BJ96,0)</f>
        <v>0</v>
      </c>
      <c r="AI96" s="22" t="s">
        <v>495</v>
      </c>
      <c r="AJ96" s="45">
        <f>IF(AN96=0,J96,0)</f>
        <v>0</v>
      </c>
      <c r="AK96" s="45">
        <f>IF(AN96=12,J96,0)</f>
        <v>0</v>
      </c>
      <c r="AL96" s="45">
        <f>IF(AN96=21,J96,0)</f>
        <v>0</v>
      </c>
      <c r="AN96" s="45">
        <v>21</v>
      </c>
      <c r="AO96" s="45">
        <f>G96*0.238227986182656</f>
        <v>0</v>
      </c>
      <c r="AP96" s="45">
        <f>G96*(1-0.238227986182656)</f>
        <v>0</v>
      </c>
      <c r="AQ96" s="28" t="s">
        <v>692</v>
      </c>
      <c r="AV96" s="45">
        <f>AW96+AX96</f>
        <v>0</v>
      </c>
      <c r="AW96" s="45">
        <f>F96*AO96</f>
        <v>0</v>
      </c>
      <c r="AX96" s="45">
        <f>F96*AP96</f>
        <v>0</v>
      </c>
      <c r="AY96" s="28" t="s">
        <v>314</v>
      </c>
      <c r="AZ96" s="28" t="s">
        <v>79</v>
      </c>
      <c r="BA96" s="22" t="s">
        <v>544</v>
      </c>
      <c r="BC96" s="45">
        <f>AW96+AX96</f>
        <v>0</v>
      </c>
      <c r="BD96" s="45">
        <f>G96/(100-BE96)*100</f>
        <v>0</v>
      </c>
      <c r="BE96" s="45">
        <v>0</v>
      </c>
      <c r="BF96" s="45">
        <f>96</f>
        <v>96</v>
      </c>
      <c r="BH96" s="45">
        <f>F96*AO96</f>
        <v>0</v>
      </c>
      <c r="BI96" s="45">
        <f>F96*AP96</f>
        <v>0</v>
      </c>
      <c r="BJ96" s="45">
        <f>F96*G96</f>
        <v>0</v>
      </c>
      <c r="BK96" s="45"/>
      <c r="BL96" s="45">
        <v>62</v>
      </c>
      <c r="BW96" s="45">
        <v>21</v>
      </c>
    </row>
    <row r="97" spans="1:75" ht="15" customHeight="1">
      <c r="A97" s="49"/>
      <c r="C97" s="12" t="s">
        <v>107</v>
      </c>
      <c r="D97" s="12" t="s">
        <v>495</v>
      </c>
      <c r="F97" s="47">
        <v>188.00000000000003</v>
      </c>
      <c r="K97" s="16"/>
    </row>
    <row r="98" spans="1:75" ht="13.5" customHeight="1">
      <c r="A98" s="15" t="s">
        <v>416</v>
      </c>
      <c r="B98" s="4" t="s">
        <v>212</v>
      </c>
      <c r="C98" s="66" t="s">
        <v>575</v>
      </c>
      <c r="D98" s="63"/>
      <c r="E98" s="4" t="s">
        <v>686</v>
      </c>
      <c r="F98" s="45">
        <v>167.785</v>
      </c>
      <c r="G98" s="45">
        <v>0</v>
      </c>
      <c r="H98" s="45">
        <f>F98*AO98</f>
        <v>0</v>
      </c>
      <c r="I98" s="45">
        <f>F98*AP98</f>
        <v>0</v>
      </c>
      <c r="J98" s="45">
        <f>F98*G98</f>
        <v>0</v>
      </c>
      <c r="K98" s="43" t="s">
        <v>319</v>
      </c>
      <c r="Z98" s="45">
        <f>IF(AQ98="5",BJ98,0)</f>
        <v>0</v>
      </c>
      <c r="AB98" s="45">
        <f>IF(AQ98="1",BH98,0)</f>
        <v>0</v>
      </c>
      <c r="AC98" s="45">
        <f>IF(AQ98="1",BI98,0)</f>
        <v>0</v>
      </c>
      <c r="AD98" s="45">
        <f>IF(AQ98="7",BH98,0)</f>
        <v>0</v>
      </c>
      <c r="AE98" s="45">
        <f>IF(AQ98="7",BI98,0)</f>
        <v>0</v>
      </c>
      <c r="AF98" s="45">
        <f>IF(AQ98="2",BH98,0)</f>
        <v>0</v>
      </c>
      <c r="AG98" s="45">
        <f>IF(AQ98="2",BI98,0)</f>
        <v>0</v>
      </c>
      <c r="AH98" s="45">
        <f>IF(AQ98="0",BJ98,0)</f>
        <v>0</v>
      </c>
      <c r="AI98" s="22" t="s">
        <v>495</v>
      </c>
      <c r="AJ98" s="45">
        <f>IF(AN98=0,J98,0)</f>
        <v>0</v>
      </c>
      <c r="AK98" s="45">
        <f>IF(AN98=12,J98,0)</f>
        <v>0</v>
      </c>
      <c r="AL98" s="45">
        <f>IF(AN98=21,J98,0)</f>
        <v>0</v>
      </c>
      <c r="AN98" s="45">
        <v>21</v>
      </c>
      <c r="AO98" s="45">
        <f>G98*0.322342710681248</f>
        <v>0</v>
      </c>
      <c r="AP98" s="45">
        <f>G98*(1-0.322342710681248)</f>
        <v>0</v>
      </c>
      <c r="AQ98" s="28" t="s">
        <v>692</v>
      </c>
      <c r="AV98" s="45">
        <f>AW98+AX98</f>
        <v>0</v>
      </c>
      <c r="AW98" s="45">
        <f>F98*AO98</f>
        <v>0</v>
      </c>
      <c r="AX98" s="45">
        <f>F98*AP98</f>
        <v>0</v>
      </c>
      <c r="AY98" s="28" t="s">
        <v>314</v>
      </c>
      <c r="AZ98" s="28" t="s">
        <v>79</v>
      </c>
      <c r="BA98" s="22" t="s">
        <v>544</v>
      </c>
      <c r="BC98" s="45">
        <f>AW98+AX98</f>
        <v>0</v>
      </c>
      <c r="BD98" s="45">
        <f>G98/(100-BE98)*100</f>
        <v>0</v>
      </c>
      <c r="BE98" s="45">
        <v>0</v>
      </c>
      <c r="BF98" s="45">
        <f>98</f>
        <v>98</v>
      </c>
      <c r="BH98" s="45">
        <f>F98*AO98</f>
        <v>0</v>
      </c>
      <c r="BI98" s="45">
        <f>F98*AP98</f>
        <v>0</v>
      </c>
      <c r="BJ98" s="45">
        <f>F98*G98</f>
        <v>0</v>
      </c>
      <c r="BK98" s="45"/>
      <c r="BL98" s="45">
        <v>62</v>
      </c>
      <c r="BW98" s="45">
        <v>21</v>
      </c>
    </row>
    <row r="99" spans="1:75" ht="15" customHeight="1">
      <c r="A99" s="49"/>
      <c r="C99" s="12" t="s">
        <v>180</v>
      </c>
      <c r="D99" s="12" t="s">
        <v>495</v>
      </c>
      <c r="F99" s="47">
        <v>66.5</v>
      </c>
      <c r="K99" s="16"/>
    </row>
    <row r="100" spans="1:75" ht="15" customHeight="1">
      <c r="A100" s="49"/>
      <c r="C100" s="12" t="s">
        <v>352</v>
      </c>
      <c r="D100" s="12" t="s">
        <v>495</v>
      </c>
      <c r="F100" s="47">
        <v>9</v>
      </c>
      <c r="K100" s="16"/>
    </row>
    <row r="101" spans="1:75" ht="15" customHeight="1">
      <c r="A101" s="49"/>
      <c r="C101" s="12" t="s">
        <v>574</v>
      </c>
      <c r="D101" s="12" t="s">
        <v>495</v>
      </c>
      <c r="F101" s="47">
        <v>37.1</v>
      </c>
      <c r="K101" s="16"/>
    </row>
    <row r="102" spans="1:75" ht="15" customHeight="1">
      <c r="A102" s="49"/>
      <c r="C102" s="12" t="s">
        <v>214</v>
      </c>
      <c r="D102" s="12" t="s">
        <v>495</v>
      </c>
      <c r="F102" s="47">
        <v>0</v>
      </c>
      <c r="K102" s="16"/>
    </row>
    <row r="103" spans="1:75" ht="15" customHeight="1">
      <c r="A103" s="49"/>
      <c r="C103" s="12" t="s">
        <v>340</v>
      </c>
      <c r="D103" s="12" t="s">
        <v>495</v>
      </c>
      <c r="F103" s="47">
        <v>33.300000000000004</v>
      </c>
      <c r="K103" s="16"/>
    </row>
    <row r="104" spans="1:75" ht="15" customHeight="1">
      <c r="A104" s="49"/>
      <c r="C104" s="12" t="s">
        <v>460</v>
      </c>
      <c r="D104" s="12" t="s">
        <v>495</v>
      </c>
      <c r="F104" s="47">
        <v>21.885000000000002</v>
      </c>
      <c r="K104" s="16"/>
    </row>
    <row r="105" spans="1:75" ht="13.5" customHeight="1">
      <c r="A105" s="15" t="s">
        <v>594</v>
      </c>
      <c r="B105" s="4" t="s">
        <v>289</v>
      </c>
      <c r="C105" s="66" t="s">
        <v>89</v>
      </c>
      <c r="D105" s="63"/>
      <c r="E105" s="4" t="s">
        <v>686</v>
      </c>
      <c r="F105" s="45">
        <v>8.8550000000000004</v>
      </c>
      <c r="G105" s="45">
        <v>0</v>
      </c>
      <c r="H105" s="45">
        <f>F105*AO105</f>
        <v>0</v>
      </c>
      <c r="I105" s="45">
        <f>F105*AP105</f>
        <v>0</v>
      </c>
      <c r="J105" s="45">
        <f>F105*G105</f>
        <v>0</v>
      </c>
      <c r="K105" s="43" t="s">
        <v>319</v>
      </c>
      <c r="Z105" s="45">
        <f>IF(AQ105="5",BJ105,0)</f>
        <v>0</v>
      </c>
      <c r="AB105" s="45">
        <f>IF(AQ105="1",BH105,0)</f>
        <v>0</v>
      </c>
      <c r="AC105" s="45">
        <f>IF(AQ105="1",BI105,0)</f>
        <v>0</v>
      </c>
      <c r="AD105" s="45">
        <f>IF(AQ105="7",BH105,0)</f>
        <v>0</v>
      </c>
      <c r="AE105" s="45">
        <f>IF(AQ105="7",BI105,0)</f>
        <v>0</v>
      </c>
      <c r="AF105" s="45">
        <f>IF(AQ105="2",BH105,0)</f>
        <v>0</v>
      </c>
      <c r="AG105" s="45">
        <f>IF(AQ105="2",BI105,0)</f>
        <v>0</v>
      </c>
      <c r="AH105" s="45">
        <f>IF(AQ105="0",BJ105,0)</f>
        <v>0</v>
      </c>
      <c r="AI105" s="22" t="s">
        <v>495</v>
      </c>
      <c r="AJ105" s="45">
        <f>IF(AN105=0,J105,0)</f>
        <v>0</v>
      </c>
      <c r="AK105" s="45">
        <f>IF(AN105=12,J105,0)</f>
        <v>0</v>
      </c>
      <c r="AL105" s="45">
        <f>IF(AN105=21,J105,0)</f>
        <v>0</v>
      </c>
      <c r="AN105" s="45">
        <v>21</v>
      </c>
      <c r="AO105" s="45">
        <f>G105*0.28368316562789</f>
        <v>0</v>
      </c>
      <c r="AP105" s="45">
        <f>G105*(1-0.28368316562789)</f>
        <v>0</v>
      </c>
      <c r="AQ105" s="28" t="s">
        <v>692</v>
      </c>
      <c r="AV105" s="45">
        <f>AW105+AX105</f>
        <v>0</v>
      </c>
      <c r="AW105" s="45">
        <f>F105*AO105</f>
        <v>0</v>
      </c>
      <c r="AX105" s="45">
        <f>F105*AP105</f>
        <v>0</v>
      </c>
      <c r="AY105" s="28" t="s">
        <v>314</v>
      </c>
      <c r="AZ105" s="28" t="s">
        <v>79</v>
      </c>
      <c r="BA105" s="22" t="s">
        <v>544</v>
      </c>
      <c r="BC105" s="45">
        <f>AW105+AX105</f>
        <v>0</v>
      </c>
      <c r="BD105" s="45">
        <f>G105/(100-BE105)*100</f>
        <v>0</v>
      </c>
      <c r="BE105" s="45">
        <v>0</v>
      </c>
      <c r="BF105" s="45">
        <f>105</f>
        <v>105</v>
      </c>
      <c r="BH105" s="45">
        <f>F105*AO105</f>
        <v>0</v>
      </c>
      <c r="BI105" s="45">
        <f>F105*AP105</f>
        <v>0</v>
      </c>
      <c r="BJ105" s="45">
        <f>F105*G105</f>
        <v>0</v>
      </c>
      <c r="BK105" s="45"/>
      <c r="BL105" s="45">
        <v>62</v>
      </c>
      <c r="BW105" s="45">
        <v>21</v>
      </c>
    </row>
    <row r="106" spans="1:75" ht="15" customHeight="1">
      <c r="A106" s="49"/>
      <c r="C106" s="12" t="s">
        <v>414</v>
      </c>
      <c r="D106" s="12" t="s">
        <v>495</v>
      </c>
      <c r="F106" s="47">
        <v>8.8550000000000004</v>
      </c>
      <c r="K106" s="16"/>
    </row>
    <row r="107" spans="1:75" ht="13.5" customHeight="1">
      <c r="A107" s="15" t="s">
        <v>150</v>
      </c>
      <c r="B107" s="4" t="s">
        <v>640</v>
      </c>
      <c r="C107" s="66" t="s">
        <v>547</v>
      </c>
      <c r="D107" s="63"/>
      <c r="E107" s="4" t="s">
        <v>686</v>
      </c>
      <c r="F107" s="45">
        <v>28.087499999999999</v>
      </c>
      <c r="G107" s="45">
        <v>0</v>
      </c>
      <c r="H107" s="45">
        <f>F107*AO107</f>
        <v>0</v>
      </c>
      <c r="I107" s="45">
        <f>F107*AP107</f>
        <v>0</v>
      </c>
      <c r="J107" s="45">
        <f>F107*G107</f>
        <v>0</v>
      </c>
      <c r="K107" s="43" t="s">
        <v>319</v>
      </c>
      <c r="Z107" s="45">
        <f>IF(AQ107="5",BJ107,0)</f>
        <v>0</v>
      </c>
      <c r="AB107" s="45">
        <f>IF(AQ107="1",BH107,0)</f>
        <v>0</v>
      </c>
      <c r="AC107" s="45">
        <f>IF(AQ107="1",BI107,0)</f>
        <v>0</v>
      </c>
      <c r="AD107" s="45">
        <f>IF(AQ107="7",BH107,0)</f>
        <v>0</v>
      </c>
      <c r="AE107" s="45">
        <f>IF(AQ107="7",BI107,0)</f>
        <v>0</v>
      </c>
      <c r="AF107" s="45">
        <f>IF(AQ107="2",BH107,0)</f>
        <v>0</v>
      </c>
      <c r="AG107" s="45">
        <f>IF(AQ107="2",BI107,0)</f>
        <v>0</v>
      </c>
      <c r="AH107" s="45">
        <f>IF(AQ107="0",BJ107,0)</f>
        <v>0</v>
      </c>
      <c r="AI107" s="22" t="s">
        <v>495</v>
      </c>
      <c r="AJ107" s="45">
        <f>IF(AN107=0,J107,0)</f>
        <v>0</v>
      </c>
      <c r="AK107" s="45">
        <f>IF(AN107=12,J107,0)</f>
        <v>0</v>
      </c>
      <c r="AL107" s="45">
        <f>IF(AN107=21,J107,0)</f>
        <v>0</v>
      </c>
      <c r="AN107" s="45">
        <v>21</v>
      </c>
      <c r="AO107" s="45">
        <f>G107*0.69742940221892</f>
        <v>0</v>
      </c>
      <c r="AP107" s="45">
        <f>G107*(1-0.69742940221892)</f>
        <v>0</v>
      </c>
      <c r="AQ107" s="28" t="s">
        <v>692</v>
      </c>
      <c r="AV107" s="45">
        <f>AW107+AX107</f>
        <v>0</v>
      </c>
      <c r="AW107" s="45">
        <f>F107*AO107</f>
        <v>0</v>
      </c>
      <c r="AX107" s="45">
        <f>F107*AP107</f>
        <v>0</v>
      </c>
      <c r="AY107" s="28" t="s">
        <v>314</v>
      </c>
      <c r="AZ107" s="28" t="s">
        <v>79</v>
      </c>
      <c r="BA107" s="22" t="s">
        <v>544</v>
      </c>
      <c r="BC107" s="45">
        <f>AW107+AX107</f>
        <v>0</v>
      </c>
      <c r="BD107" s="45">
        <f>G107/(100-BE107)*100</f>
        <v>0</v>
      </c>
      <c r="BE107" s="45">
        <v>0</v>
      </c>
      <c r="BF107" s="45">
        <f>107</f>
        <v>107</v>
      </c>
      <c r="BH107" s="45">
        <f>F107*AO107</f>
        <v>0</v>
      </c>
      <c r="BI107" s="45">
        <f>F107*AP107</f>
        <v>0</v>
      </c>
      <c r="BJ107" s="45">
        <f>F107*G107</f>
        <v>0</v>
      </c>
      <c r="BK107" s="45"/>
      <c r="BL107" s="45">
        <v>62</v>
      </c>
      <c r="BW107" s="45">
        <v>21</v>
      </c>
    </row>
    <row r="108" spans="1:75" ht="15" customHeight="1">
      <c r="A108" s="49"/>
      <c r="C108" s="12" t="s">
        <v>691</v>
      </c>
      <c r="D108" s="12" t="s">
        <v>495</v>
      </c>
      <c r="F108" s="47">
        <v>4</v>
      </c>
      <c r="K108" s="16"/>
    </row>
    <row r="109" spans="1:75" ht="15" customHeight="1">
      <c r="A109" s="49"/>
      <c r="C109" s="12" t="s">
        <v>768</v>
      </c>
      <c r="D109" s="12" t="s">
        <v>495</v>
      </c>
      <c r="F109" s="47">
        <v>16.360000000000003</v>
      </c>
      <c r="K109" s="16"/>
    </row>
    <row r="110" spans="1:75" ht="15" customHeight="1">
      <c r="A110" s="49"/>
      <c r="C110" s="12" t="s">
        <v>315</v>
      </c>
      <c r="D110" s="12" t="s">
        <v>495</v>
      </c>
      <c r="F110" s="47">
        <v>6.3900000000000006</v>
      </c>
      <c r="K110" s="16"/>
    </row>
    <row r="111" spans="1:75" ht="15" customHeight="1">
      <c r="A111" s="49"/>
      <c r="C111" s="12" t="s">
        <v>740</v>
      </c>
      <c r="D111" s="12" t="s">
        <v>495</v>
      </c>
      <c r="F111" s="47">
        <v>1.3375000000000001</v>
      </c>
      <c r="K111" s="16"/>
    </row>
    <row r="112" spans="1:75" ht="15" customHeight="1">
      <c r="A112" s="42" t="s">
        <v>495</v>
      </c>
      <c r="B112" s="39" t="s">
        <v>160</v>
      </c>
      <c r="C112" s="79" t="s">
        <v>701</v>
      </c>
      <c r="D112" s="80"/>
      <c r="E112" s="27" t="s">
        <v>653</v>
      </c>
      <c r="F112" s="27" t="s">
        <v>653</v>
      </c>
      <c r="G112" s="27" t="s">
        <v>653</v>
      </c>
      <c r="H112" s="11">
        <f>SUM(H113:H115)</f>
        <v>0</v>
      </c>
      <c r="I112" s="11">
        <f>SUM(I113:I115)</f>
        <v>0</v>
      </c>
      <c r="J112" s="11">
        <f>SUM(J113:J115)</f>
        <v>0</v>
      </c>
      <c r="K112" s="50" t="s">
        <v>495</v>
      </c>
      <c r="AI112" s="22" t="s">
        <v>495</v>
      </c>
      <c r="AS112" s="11">
        <f>SUM(AJ113:AJ115)</f>
        <v>0</v>
      </c>
      <c r="AT112" s="11">
        <f>SUM(AK113:AK115)</f>
        <v>0</v>
      </c>
      <c r="AU112" s="11">
        <f>SUM(AL113:AL115)</f>
        <v>0</v>
      </c>
    </row>
    <row r="113" spans="1:75" ht="13.5" customHeight="1">
      <c r="A113" s="15" t="s">
        <v>763</v>
      </c>
      <c r="B113" s="4" t="s">
        <v>392</v>
      </c>
      <c r="C113" s="66" t="s">
        <v>728</v>
      </c>
      <c r="D113" s="63"/>
      <c r="E113" s="4" t="s">
        <v>686</v>
      </c>
      <c r="F113" s="45">
        <v>3.6850000000000001</v>
      </c>
      <c r="G113" s="45">
        <v>0</v>
      </c>
      <c r="H113" s="45">
        <f>F113*AO113</f>
        <v>0</v>
      </c>
      <c r="I113" s="45">
        <f>F113*AP113</f>
        <v>0</v>
      </c>
      <c r="J113" s="45">
        <f>F113*G113</f>
        <v>0</v>
      </c>
      <c r="K113" s="43" t="s">
        <v>319</v>
      </c>
      <c r="Z113" s="45">
        <f>IF(AQ113="5",BJ113,0)</f>
        <v>0</v>
      </c>
      <c r="AB113" s="45">
        <f>IF(AQ113="1",BH113,0)</f>
        <v>0</v>
      </c>
      <c r="AC113" s="45">
        <f>IF(AQ113="1",BI113,0)</f>
        <v>0</v>
      </c>
      <c r="AD113" s="45">
        <f>IF(AQ113="7",BH113,0)</f>
        <v>0</v>
      </c>
      <c r="AE113" s="45">
        <f>IF(AQ113="7",BI113,0)</f>
        <v>0</v>
      </c>
      <c r="AF113" s="45">
        <f>IF(AQ113="2",BH113,0)</f>
        <v>0</v>
      </c>
      <c r="AG113" s="45">
        <f>IF(AQ113="2",BI113,0)</f>
        <v>0</v>
      </c>
      <c r="AH113" s="45">
        <f>IF(AQ113="0",BJ113,0)</f>
        <v>0</v>
      </c>
      <c r="AI113" s="22" t="s">
        <v>495</v>
      </c>
      <c r="AJ113" s="45">
        <f>IF(AN113=0,J113,0)</f>
        <v>0</v>
      </c>
      <c r="AK113" s="45">
        <f>IF(AN113=12,J113,0)</f>
        <v>0</v>
      </c>
      <c r="AL113" s="45">
        <f>IF(AN113=21,J113,0)</f>
        <v>0</v>
      </c>
      <c r="AN113" s="45">
        <v>21</v>
      </c>
      <c r="AO113" s="45">
        <f>G113*0.744710320777552</f>
        <v>0</v>
      </c>
      <c r="AP113" s="45">
        <f>G113*(1-0.744710320777552)</f>
        <v>0</v>
      </c>
      <c r="AQ113" s="28" t="s">
        <v>692</v>
      </c>
      <c r="AV113" s="45">
        <f>AW113+AX113</f>
        <v>0</v>
      </c>
      <c r="AW113" s="45">
        <f>F113*AO113</f>
        <v>0</v>
      </c>
      <c r="AX113" s="45">
        <f>F113*AP113</f>
        <v>0</v>
      </c>
      <c r="AY113" s="28" t="s">
        <v>646</v>
      </c>
      <c r="AZ113" s="28" t="s">
        <v>79</v>
      </c>
      <c r="BA113" s="22" t="s">
        <v>544</v>
      </c>
      <c r="BC113" s="45">
        <f>AW113+AX113</f>
        <v>0</v>
      </c>
      <c r="BD113" s="45">
        <f>G113/(100-BE113)*100</f>
        <v>0</v>
      </c>
      <c r="BE113" s="45">
        <v>0</v>
      </c>
      <c r="BF113" s="45">
        <f>113</f>
        <v>113</v>
      </c>
      <c r="BH113" s="45">
        <f>F113*AO113</f>
        <v>0</v>
      </c>
      <c r="BI113" s="45">
        <f>F113*AP113</f>
        <v>0</v>
      </c>
      <c r="BJ113" s="45">
        <f>F113*G113</f>
        <v>0</v>
      </c>
      <c r="BK113" s="45"/>
      <c r="BL113" s="45">
        <v>63</v>
      </c>
      <c r="BW113" s="45">
        <v>21</v>
      </c>
    </row>
    <row r="114" spans="1:75" ht="15" customHeight="1">
      <c r="A114" s="49"/>
      <c r="C114" s="12" t="s">
        <v>148</v>
      </c>
      <c r="D114" s="12" t="s">
        <v>495</v>
      </c>
      <c r="F114" s="47">
        <v>3.6850000000000005</v>
      </c>
      <c r="K114" s="16"/>
    </row>
    <row r="115" spans="1:75" ht="13.5" customHeight="1">
      <c r="A115" s="15" t="s">
        <v>634</v>
      </c>
      <c r="B115" s="4" t="s">
        <v>135</v>
      </c>
      <c r="C115" s="66" t="s">
        <v>308</v>
      </c>
      <c r="D115" s="63"/>
      <c r="E115" s="4" t="s">
        <v>686</v>
      </c>
      <c r="F115" s="45">
        <v>188.815</v>
      </c>
      <c r="G115" s="45">
        <v>0</v>
      </c>
      <c r="H115" s="45">
        <f>F115*AO115</f>
        <v>0</v>
      </c>
      <c r="I115" s="45">
        <f>F115*AP115</f>
        <v>0</v>
      </c>
      <c r="J115" s="45">
        <f>F115*G115</f>
        <v>0</v>
      </c>
      <c r="K115" s="43" t="s">
        <v>319</v>
      </c>
      <c r="Z115" s="45">
        <f>IF(AQ115="5",BJ115,0)</f>
        <v>0</v>
      </c>
      <c r="AB115" s="45">
        <f>IF(AQ115="1",BH115,0)</f>
        <v>0</v>
      </c>
      <c r="AC115" s="45">
        <f>IF(AQ115="1",BI115,0)</f>
        <v>0</v>
      </c>
      <c r="AD115" s="45">
        <f>IF(AQ115="7",BH115,0)</f>
        <v>0</v>
      </c>
      <c r="AE115" s="45">
        <f>IF(AQ115="7",BI115,0)</f>
        <v>0</v>
      </c>
      <c r="AF115" s="45">
        <f>IF(AQ115="2",BH115,0)</f>
        <v>0</v>
      </c>
      <c r="AG115" s="45">
        <f>IF(AQ115="2",BI115,0)</f>
        <v>0</v>
      </c>
      <c r="AH115" s="45">
        <f>IF(AQ115="0",BJ115,0)</f>
        <v>0</v>
      </c>
      <c r="AI115" s="22" t="s">
        <v>495</v>
      </c>
      <c r="AJ115" s="45">
        <f>IF(AN115=0,J115,0)</f>
        <v>0</v>
      </c>
      <c r="AK115" s="45">
        <f>IF(AN115=12,J115,0)</f>
        <v>0</v>
      </c>
      <c r="AL115" s="45">
        <f>IF(AN115=21,J115,0)</f>
        <v>0</v>
      </c>
      <c r="AN115" s="45">
        <v>21</v>
      </c>
      <c r="AO115" s="45">
        <f>G115*0.777596474073131</f>
        <v>0</v>
      </c>
      <c r="AP115" s="45">
        <f>G115*(1-0.777596474073131)</f>
        <v>0</v>
      </c>
      <c r="AQ115" s="28" t="s">
        <v>692</v>
      </c>
      <c r="AV115" s="45">
        <f>AW115+AX115</f>
        <v>0</v>
      </c>
      <c r="AW115" s="45">
        <f>F115*AO115</f>
        <v>0</v>
      </c>
      <c r="AX115" s="45">
        <f>F115*AP115</f>
        <v>0</v>
      </c>
      <c r="AY115" s="28" t="s">
        <v>646</v>
      </c>
      <c r="AZ115" s="28" t="s">
        <v>79</v>
      </c>
      <c r="BA115" s="22" t="s">
        <v>544</v>
      </c>
      <c r="BC115" s="45">
        <f>AW115+AX115</f>
        <v>0</v>
      </c>
      <c r="BD115" s="45">
        <f>G115/(100-BE115)*100</f>
        <v>0</v>
      </c>
      <c r="BE115" s="45">
        <v>0</v>
      </c>
      <c r="BF115" s="45">
        <f>115</f>
        <v>115</v>
      </c>
      <c r="BH115" s="45">
        <f>F115*AO115</f>
        <v>0</v>
      </c>
      <c r="BI115" s="45">
        <f>F115*AP115</f>
        <v>0</v>
      </c>
      <c r="BJ115" s="45">
        <f>F115*G115</f>
        <v>0</v>
      </c>
      <c r="BK115" s="45"/>
      <c r="BL115" s="45">
        <v>63</v>
      </c>
      <c r="BW115" s="45">
        <v>21</v>
      </c>
    </row>
    <row r="116" spans="1:75" ht="15" customHeight="1">
      <c r="A116" s="49"/>
      <c r="C116" s="12" t="s">
        <v>318</v>
      </c>
      <c r="D116" s="12" t="s">
        <v>495</v>
      </c>
      <c r="F116" s="47">
        <v>188.81500000000003</v>
      </c>
      <c r="K116" s="16"/>
    </row>
    <row r="117" spans="1:75" ht="15" customHeight="1">
      <c r="A117" s="42" t="s">
        <v>495</v>
      </c>
      <c r="B117" s="39" t="s">
        <v>355</v>
      </c>
      <c r="C117" s="79" t="s">
        <v>709</v>
      </c>
      <c r="D117" s="80"/>
      <c r="E117" s="27" t="s">
        <v>653</v>
      </c>
      <c r="F117" s="27" t="s">
        <v>653</v>
      </c>
      <c r="G117" s="27" t="s">
        <v>653</v>
      </c>
      <c r="H117" s="11">
        <f>SUM(H118:H118)</f>
        <v>0</v>
      </c>
      <c r="I117" s="11">
        <f>SUM(I118:I118)</f>
        <v>0</v>
      </c>
      <c r="J117" s="11">
        <f>SUM(J118:J118)</f>
        <v>0</v>
      </c>
      <c r="K117" s="50" t="s">
        <v>495</v>
      </c>
      <c r="AI117" s="22" t="s">
        <v>495</v>
      </c>
      <c r="AS117" s="11">
        <f>SUM(AJ118:AJ118)</f>
        <v>0</v>
      </c>
      <c r="AT117" s="11">
        <f>SUM(AK118:AK118)</f>
        <v>0</v>
      </c>
      <c r="AU117" s="11">
        <f>SUM(AL118:AL118)</f>
        <v>0</v>
      </c>
    </row>
    <row r="118" spans="1:75" ht="13.5" customHeight="1">
      <c r="A118" s="15" t="s">
        <v>411</v>
      </c>
      <c r="B118" s="4" t="s">
        <v>61</v>
      </c>
      <c r="C118" s="66" t="s">
        <v>254</v>
      </c>
      <c r="D118" s="63"/>
      <c r="E118" s="4" t="s">
        <v>584</v>
      </c>
      <c r="F118" s="45">
        <v>19.5</v>
      </c>
      <c r="G118" s="45">
        <v>0</v>
      </c>
      <c r="H118" s="45">
        <f>F118*AO118</f>
        <v>0</v>
      </c>
      <c r="I118" s="45">
        <f>F118*AP118</f>
        <v>0</v>
      </c>
      <c r="J118" s="45">
        <f>F118*G118</f>
        <v>0</v>
      </c>
      <c r="K118" s="43" t="s">
        <v>319</v>
      </c>
      <c r="Z118" s="45">
        <f>IF(AQ118="5",BJ118,0)</f>
        <v>0</v>
      </c>
      <c r="AB118" s="45">
        <f>IF(AQ118="1",BH118,0)</f>
        <v>0</v>
      </c>
      <c r="AC118" s="45">
        <f>IF(AQ118="1",BI118,0)</f>
        <v>0</v>
      </c>
      <c r="AD118" s="45">
        <f>IF(AQ118="7",BH118,0)</f>
        <v>0</v>
      </c>
      <c r="AE118" s="45">
        <f>IF(AQ118="7",BI118,0)</f>
        <v>0</v>
      </c>
      <c r="AF118" s="45">
        <f>IF(AQ118="2",BH118,0)</f>
        <v>0</v>
      </c>
      <c r="AG118" s="45">
        <f>IF(AQ118="2",BI118,0)</f>
        <v>0</v>
      </c>
      <c r="AH118" s="45">
        <f>IF(AQ118="0",BJ118,0)</f>
        <v>0</v>
      </c>
      <c r="AI118" s="22" t="s">
        <v>495</v>
      </c>
      <c r="AJ118" s="45">
        <f>IF(AN118=0,J118,0)</f>
        <v>0</v>
      </c>
      <c r="AK118" s="45">
        <f>IF(AN118=12,J118,0)</f>
        <v>0</v>
      </c>
      <c r="AL118" s="45">
        <f>IF(AN118=21,J118,0)</f>
        <v>0</v>
      </c>
      <c r="AN118" s="45">
        <v>21</v>
      </c>
      <c r="AO118" s="45">
        <f>G118*0.617571189279732</f>
        <v>0</v>
      </c>
      <c r="AP118" s="45">
        <f>G118*(1-0.617571189279732)</f>
        <v>0</v>
      </c>
      <c r="AQ118" s="28" t="s">
        <v>692</v>
      </c>
      <c r="AV118" s="45">
        <f>AW118+AX118</f>
        <v>0</v>
      </c>
      <c r="AW118" s="45">
        <f>F118*AO118</f>
        <v>0</v>
      </c>
      <c r="AX118" s="45">
        <f>F118*AP118</f>
        <v>0</v>
      </c>
      <c r="AY118" s="28" t="s">
        <v>484</v>
      </c>
      <c r="AZ118" s="28" t="s">
        <v>79</v>
      </c>
      <c r="BA118" s="22" t="s">
        <v>544</v>
      </c>
      <c r="BC118" s="45">
        <f>AW118+AX118</f>
        <v>0</v>
      </c>
      <c r="BD118" s="45">
        <f>G118/(100-BE118)*100</f>
        <v>0</v>
      </c>
      <c r="BE118" s="45">
        <v>0</v>
      </c>
      <c r="BF118" s="45">
        <f>118</f>
        <v>118</v>
      </c>
      <c r="BH118" s="45">
        <f>F118*AO118</f>
        <v>0</v>
      </c>
      <c r="BI118" s="45">
        <f>F118*AP118</f>
        <v>0</v>
      </c>
      <c r="BJ118" s="45">
        <f>F118*G118</f>
        <v>0</v>
      </c>
      <c r="BK118" s="45"/>
      <c r="BL118" s="45">
        <v>64</v>
      </c>
      <c r="BW118" s="45">
        <v>21</v>
      </c>
    </row>
    <row r="119" spans="1:75" ht="15" customHeight="1">
      <c r="A119" s="49"/>
      <c r="C119" s="12" t="s">
        <v>235</v>
      </c>
      <c r="D119" s="12" t="s">
        <v>495</v>
      </c>
      <c r="F119" s="47">
        <v>18</v>
      </c>
      <c r="K119" s="16"/>
    </row>
    <row r="120" spans="1:75" ht="15" customHeight="1">
      <c r="A120" s="49"/>
      <c r="C120" s="12" t="s">
        <v>656</v>
      </c>
      <c r="D120" s="12" t="s">
        <v>495</v>
      </c>
      <c r="F120" s="47">
        <v>0.60000000000000009</v>
      </c>
      <c r="K120" s="16"/>
    </row>
    <row r="121" spans="1:75" ht="15" customHeight="1">
      <c r="A121" s="49"/>
      <c r="C121" s="12" t="s">
        <v>242</v>
      </c>
      <c r="D121" s="12" t="s">
        <v>495</v>
      </c>
      <c r="F121" s="47">
        <v>0.9</v>
      </c>
      <c r="K121" s="16"/>
    </row>
    <row r="122" spans="1:75" ht="15" customHeight="1">
      <c r="A122" s="42" t="s">
        <v>495</v>
      </c>
      <c r="B122" s="39" t="s">
        <v>26</v>
      </c>
      <c r="C122" s="79" t="s">
        <v>772</v>
      </c>
      <c r="D122" s="80"/>
      <c r="E122" s="27" t="s">
        <v>653</v>
      </c>
      <c r="F122" s="27" t="s">
        <v>653</v>
      </c>
      <c r="G122" s="27" t="s">
        <v>653</v>
      </c>
      <c r="H122" s="11">
        <f>SUM(H123:H125)</f>
        <v>0</v>
      </c>
      <c r="I122" s="11">
        <f>SUM(I123:I125)</f>
        <v>0</v>
      </c>
      <c r="J122" s="11">
        <f>SUM(J123:J125)</f>
        <v>0</v>
      </c>
      <c r="K122" s="50" t="s">
        <v>495</v>
      </c>
      <c r="AI122" s="22" t="s">
        <v>495</v>
      </c>
      <c r="AS122" s="11">
        <f>SUM(AJ123:AJ125)</f>
        <v>0</v>
      </c>
      <c r="AT122" s="11">
        <f>SUM(AK123:AK125)</f>
        <v>0</v>
      </c>
      <c r="AU122" s="11">
        <f>SUM(AL123:AL125)</f>
        <v>0</v>
      </c>
    </row>
    <row r="123" spans="1:75" ht="13.5" customHeight="1">
      <c r="A123" s="15" t="s">
        <v>683</v>
      </c>
      <c r="B123" s="4" t="s">
        <v>58</v>
      </c>
      <c r="C123" s="66" t="s">
        <v>419</v>
      </c>
      <c r="D123" s="63"/>
      <c r="E123" s="4" t="s">
        <v>686</v>
      </c>
      <c r="F123" s="45">
        <v>175</v>
      </c>
      <c r="G123" s="45">
        <v>0</v>
      </c>
      <c r="H123" s="45">
        <f>F123*AO123</f>
        <v>0</v>
      </c>
      <c r="I123" s="45">
        <f>F123*AP123</f>
        <v>0</v>
      </c>
      <c r="J123" s="45">
        <f>F123*G123</f>
        <v>0</v>
      </c>
      <c r="K123" s="43" t="s">
        <v>319</v>
      </c>
      <c r="Z123" s="45">
        <f>IF(AQ123="5",BJ123,0)</f>
        <v>0</v>
      </c>
      <c r="AB123" s="45">
        <f>IF(AQ123="1",BH123,0)</f>
        <v>0</v>
      </c>
      <c r="AC123" s="45">
        <f>IF(AQ123="1",BI123,0)</f>
        <v>0</v>
      </c>
      <c r="AD123" s="45">
        <f>IF(AQ123="7",BH123,0)</f>
        <v>0</v>
      </c>
      <c r="AE123" s="45">
        <f>IF(AQ123="7",BI123,0)</f>
        <v>0</v>
      </c>
      <c r="AF123" s="45">
        <f>IF(AQ123="2",BH123,0)</f>
        <v>0</v>
      </c>
      <c r="AG123" s="45">
        <f>IF(AQ123="2",BI123,0)</f>
        <v>0</v>
      </c>
      <c r="AH123" s="45">
        <f>IF(AQ123="0",BJ123,0)</f>
        <v>0</v>
      </c>
      <c r="AI123" s="22" t="s">
        <v>495</v>
      </c>
      <c r="AJ123" s="45">
        <f>IF(AN123=0,J123,0)</f>
        <v>0</v>
      </c>
      <c r="AK123" s="45">
        <f>IF(AN123=12,J123,0)</f>
        <v>0</v>
      </c>
      <c r="AL123" s="45">
        <f>IF(AN123=21,J123,0)</f>
        <v>0</v>
      </c>
      <c r="AN123" s="45">
        <v>21</v>
      </c>
      <c r="AO123" s="45">
        <f>G123*0</f>
        <v>0</v>
      </c>
      <c r="AP123" s="45">
        <f>G123*(1-0)</f>
        <v>0</v>
      </c>
      <c r="AQ123" s="28" t="s">
        <v>694</v>
      </c>
      <c r="AV123" s="45">
        <f>AW123+AX123</f>
        <v>0</v>
      </c>
      <c r="AW123" s="45">
        <f>F123*AO123</f>
        <v>0</v>
      </c>
      <c r="AX123" s="45">
        <f>F123*AP123</f>
        <v>0</v>
      </c>
      <c r="AY123" s="28" t="s">
        <v>617</v>
      </c>
      <c r="AZ123" s="28" t="s">
        <v>576</v>
      </c>
      <c r="BA123" s="22" t="s">
        <v>544</v>
      </c>
      <c r="BC123" s="45">
        <f>AW123+AX123</f>
        <v>0</v>
      </c>
      <c r="BD123" s="45">
        <f>G123/(100-BE123)*100</f>
        <v>0</v>
      </c>
      <c r="BE123" s="45">
        <v>0</v>
      </c>
      <c r="BF123" s="45">
        <f>123</f>
        <v>123</v>
      </c>
      <c r="BH123" s="45">
        <f>F123*AO123</f>
        <v>0</v>
      </c>
      <c r="BI123" s="45">
        <f>F123*AP123</f>
        <v>0</v>
      </c>
      <c r="BJ123" s="45">
        <f>F123*G123</f>
        <v>0</v>
      </c>
      <c r="BK123" s="45"/>
      <c r="BL123" s="45">
        <v>711</v>
      </c>
      <c r="BW123" s="45">
        <v>21</v>
      </c>
    </row>
    <row r="124" spans="1:75" ht="15" customHeight="1">
      <c r="A124" s="49"/>
      <c r="C124" s="12" t="s">
        <v>543</v>
      </c>
      <c r="D124" s="12" t="s">
        <v>495</v>
      </c>
      <c r="F124" s="47">
        <v>175.00000000000003</v>
      </c>
      <c r="K124" s="16"/>
    </row>
    <row r="125" spans="1:75" ht="13.5" customHeight="1">
      <c r="A125" s="15" t="s">
        <v>425</v>
      </c>
      <c r="B125" s="4" t="s">
        <v>283</v>
      </c>
      <c r="C125" s="66" t="s">
        <v>776</v>
      </c>
      <c r="D125" s="63"/>
      <c r="E125" s="4" t="s">
        <v>686</v>
      </c>
      <c r="F125" s="45">
        <v>201.25</v>
      </c>
      <c r="G125" s="45">
        <v>0</v>
      </c>
      <c r="H125" s="45">
        <f>F125*AO125</f>
        <v>0</v>
      </c>
      <c r="I125" s="45">
        <f>F125*AP125</f>
        <v>0</v>
      </c>
      <c r="J125" s="45">
        <f>F125*G125</f>
        <v>0</v>
      </c>
      <c r="K125" s="43" t="s">
        <v>319</v>
      </c>
      <c r="Z125" s="45">
        <f>IF(AQ125="5",BJ125,0)</f>
        <v>0</v>
      </c>
      <c r="AB125" s="45">
        <f>IF(AQ125="1",BH125,0)</f>
        <v>0</v>
      </c>
      <c r="AC125" s="45">
        <f>IF(AQ125="1",BI125,0)</f>
        <v>0</v>
      </c>
      <c r="AD125" s="45">
        <f>IF(AQ125="7",BH125,0)</f>
        <v>0</v>
      </c>
      <c r="AE125" s="45">
        <f>IF(AQ125="7",BI125,0)</f>
        <v>0</v>
      </c>
      <c r="AF125" s="45">
        <f>IF(AQ125="2",BH125,0)</f>
        <v>0</v>
      </c>
      <c r="AG125" s="45">
        <f>IF(AQ125="2",BI125,0)</f>
        <v>0</v>
      </c>
      <c r="AH125" s="45">
        <f>IF(AQ125="0",BJ125,0)</f>
        <v>0</v>
      </c>
      <c r="AI125" s="22" t="s">
        <v>495</v>
      </c>
      <c r="AJ125" s="45">
        <f>IF(AN125=0,J125,0)</f>
        <v>0</v>
      </c>
      <c r="AK125" s="45">
        <f>IF(AN125=12,J125,0)</f>
        <v>0</v>
      </c>
      <c r="AL125" s="45">
        <f>IF(AN125=21,J125,0)</f>
        <v>0</v>
      </c>
      <c r="AN125" s="45">
        <v>21</v>
      </c>
      <c r="AO125" s="45">
        <f>G125*0.718802395209581</f>
        <v>0</v>
      </c>
      <c r="AP125" s="45">
        <f>G125*(1-0.718802395209581)</f>
        <v>0</v>
      </c>
      <c r="AQ125" s="28" t="s">
        <v>694</v>
      </c>
      <c r="AV125" s="45">
        <f>AW125+AX125</f>
        <v>0</v>
      </c>
      <c r="AW125" s="45">
        <f>F125*AO125</f>
        <v>0</v>
      </c>
      <c r="AX125" s="45">
        <f>F125*AP125</f>
        <v>0</v>
      </c>
      <c r="AY125" s="28" t="s">
        <v>617</v>
      </c>
      <c r="AZ125" s="28" t="s">
        <v>576</v>
      </c>
      <c r="BA125" s="22" t="s">
        <v>544</v>
      </c>
      <c r="BC125" s="45">
        <f>AW125+AX125</f>
        <v>0</v>
      </c>
      <c r="BD125" s="45">
        <f>G125/(100-BE125)*100</f>
        <v>0</v>
      </c>
      <c r="BE125" s="45">
        <v>0</v>
      </c>
      <c r="BF125" s="45">
        <f>125</f>
        <v>125</v>
      </c>
      <c r="BH125" s="45">
        <f>F125*AO125</f>
        <v>0</v>
      </c>
      <c r="BI125" s="45">
        <f>F125*AP125</f>
        <v>0</v>
      </c>
      <c r="BJ125" s="45">
        <f>F125*G125</f>
        <v>0</v>
      </c>
      <c r="BK125" s="45"/>
      <c r="BL125" s="45">
        <v>711</v>
      </c>
      <c r="BW125" s="45">
        <v>21</v>
      </c>
    </row>
    <row r="126" spans="1:75" ht="15" customHeight="1">
      <c r="A126" s="49"/>
      <c r="C126" s="12" t="s">
        <v>258</v>
      </c>
      <c r="D126" s="12" t="s">
        <v>495</v>
      </c>
      <c r="F126" s="47">
        <v>201.25000000000003</v>
      </c>
      <c r="K126" s="16"/>
    </row>
    <row r="127" spans="1:75" ht="15" customHeight="1">
      <c r="A127" s="42" t="s">
        <v>495</v>
      </c>
      <c r="B127" s="39" t="s">
        <v>572</v>
      </c>
      <c r="C127" s="79" t="s">
        <v>607</v>
      </c>
      <c r="D127" s="80"/>
      <c r="E127" s="27" t="s">
        <v>653</v>
      </c>
      <c r="F127" s="27" t="s">
        <v>653</v>
      </c>
      <c r="G127" s="27" t="s">
        <v>653</v>
      </c>
      <c r="H127" s="11">
        <f>SUM(H128:H141)</f>
        <v>0</v>
      </c>
      <c r="I127" s="11">
        <f>SUM(I128:I141)</f>
        <v>0</v>
      </c>
      <c r="J127" s="11">
        <f>SUM(J128:J141)</f>
        <v>0</v>
      </c>
      <c r="K127" s="50" t="s">
        <v>495</v>
      </c>
      <c r="AI127" s="22" t="s">
        <v>495</v>
      </c>
      <c r="AS127" s="11">
        <f>SUM(AJ128:AJ141)</f>
        <v>0</v>
      </c>
      <c r="AT127" s="11">
        <f>SUM(AK128:AK141)</f>
        <v>0</v>
      </c>
      <c r="AU127" s="11">
        <f>SUM(AL128:AL141)</f>
        <v>0</v>
      </c>
    </row>
    <row r="128" spans="1:75" ht="13.5" customHeight="1">
      <c r="A128" s="15" t="s">
        <v>458</v>
      </c>
      <c r="B128" s="4" t="s">
        <v>601</v>
      </c>
      <c r="C128" s="66" t="s">
        <v>256</v>
      </c>
      <c r="D128" s="63"/>
      <c r="E128" s="4" t="s">
        <v>686</v>
      </c>
      <c r="F128" s="45">
        <v>175</v>
      </c>
      <c r="G128" s="45">
        <v>0</v>
      </c>
      <c r="H128" s="45">
        <f>F128*AO128</f>
        <v>0</v>
      </c>
      <c r="I128" s="45">
        <f>F128*AP128</f>
        <v>0</v>
      </c>
      <c r="J128" s="45">
        <f>F128*G128</f>
        <v>0</v>
      </c>
      <c r="K128" s="43" t="s">
        <v>319</v>
      </c>
      <c r="Z128" s="45">
        <f>IF(AQ128="5",BJ128,0)</f>
        <v>0</v>
      </c>
      <c r="AB128" s="45">
        <f>IF(AQ128="1",BH128,0)</f>
        <v>0</v>
      </c>
      <c r="AC128" s="45">
        <f>IF(AQ128="1",BI128,0)</f>
        <v>0</v>
      </c>
      <c r="AD128" s="45">
        <f>IF(AQ128="7",BH128,0)</f>
        <v>0</v>
      </c>
      <c r="AE128" s="45">
        <f>IF(AQ128="7",BI128,0)</f>
        <v>0</v>
      </c>
      <c r="AF128" s="45">
        <f>IF(AQ128="2",BH128,0)</f>
        <v>0</v>
      </c>
      <c r="AG128" s="45">
        <f>IF(AQ128="2",BI128,0)</f>
        <v>0</v>
      </c>
      <c r="AH128" s="45">
        <f>IF(AQ128="0",BJ128,0)</f>
        <v>0</v>
      </c>
      <c r="AI128" s="22" t="s">
        <v>495</v>
      </c>
      <c r="AJ128" s="45">
        <f>IF(AN128=0,J128,0)</f>
        <v>0</v>
      </c>
      <c r="AK128" s="45">
        <f>IF(AN128=12,J128,0)</f>
        <v>0</v>
      </c>
      <c r="AL128" s="45">
        <f>IF(AN128=21,J128,0)</f>
        <v>0</v>
      </c>
      <c r="AN128" s="45">
        <v>21</v>
      </c>
      <c r="AO128" s="45">
        <f>G128*0</f>
        <v>0</v>
      </c>
      <c r="AP128" s="45">
        <f>G128*(1-0)</f>
        <v>0</v>
      </c>
      <c r="AQ128" s="28" t="s">
        <v>694</v>
      </c>
      <c r="AV128" s="45">
        <f>AW128+AX128</f>
        <v>0</v>
      </c>
      <c r="AW128" s="45">
        <f>F128*AO128</f>
        <v>0</v>
      </c>
      <c r="AX128" s="45">
        <f>F128*AP128</f>
        <v>0</v>
      </c>
      <c r="AY128" s="28" t="s">
        <v>551</v>
      </c>
      <c r="AZ128" s="28" t="s">
        <v>576</v>
      </c>
      <c r="BA128" s="22" t="s">
        <v>544</v>
      </c>
      <c r="BC128" s="45">
        <f>AW128+AX128</f>
        <v>0</v>
      </c>
      <c r="BD128" s="45">
        <f>G128/(100-BE128)*100</f>
        <v>0</v>
      </c>
      <c r="BE128" s="45">
        <v>0</v>
      </c>
      <c r="BF128" s="45">
        <f>128</f>
        <v>128</v>
      </c>
      <c r="BH128" s="45">
        <f>F128*AO128</f>
        <v>0</v>
      </c>
      <c r="BI128" s="45">
        <f>F128*AP128</f>
        <v>0</v>
      </c>
      <c r="BJ128" s="45">
        <f>F128*G128</f>
        <v>0</v>
      </c>
      <c r="BK128" s="45"/>
      <c r="BL128" s="45">
        <v>713</v>
      </c>
      <c r="BW128" s="45">
        <v>21</v>
      </c>
    </row>
    <row r="129" spans="1:75" ht="15" customHeight="1">
      <c r="A129" s="49"/>
      <c r="C129" s="12" t="s">
        <v>543</v>
      </c>
      <c r="D129" s="12" t="s">
        <v>495</v>
      </c>
      <c r="F129" s="47">
        <v>175.00000000000003</v>
      </c>
      <c r="K129" s="16"/>
    </row>
    <row r="130" spans="1:75" ht="13.5" customHeight="1">
      <c r="A130" s="15" t="s">
        <v>241</v>
      </c>
      <c r="B130" s="4" t="s">
        <v>486</v>
      </c>
      <c r="C130" s="66" t="s">
        <v>579</v>
      </c>
      <c r="D130" s="63"/>
      <c r="E130" s="4" t="s">
        <v>686</v>
      </c>
      <c r="F130" s="45">
        <v>175</v>
      </c>
      <c r="G130" s="45">
        <v>0</v>
      </c>
      <c r="H130" s="45">
        <f>F130*AO130</f>
        <v>0</v>
      </c>
      <c r="I130" s="45">
        <f>F130*AP130</f>
        <v>0</v>
      </c>
      <c r="J130" s="45">
        <f>F130*G130</f>
        <v>0</v>
      </c>
      <c r="K130" s="43" t="s">
        <v>319</v>
      </c>
      <c r="Z130" s="45">
        <f>IF(AQ130="5",BJ130,0)</f>
        <v>0</v>
      </c>
      <c r="AB130" s="45">
        <f>IF(AQ130="1",BH130,0)</f>
        <v>0</v>
      </c>
      <c r="AC130" s="45">
        <f>IF(AQ130="1",BI130,0)</f>
        <v>0</v>
      </c>
      <c r="AD130" s="45">
        <f>IF(AQ130="7",BH130,0)</f>
        <v>0</v>
      </c>
      <c r="AE130" s="45">
        <f>IF(AQ130="7",BI130,0)</f>
        <v>0</v>
      </c>
      <c r="AF130" s="45">
        <f>IF(AQ130="2",BH130,0)</f>
        <v>0</v>
      </c>
      <c r="AG130" s="45">
        <f>IF(AQ130="2",BI130,0)</f>
        <v>0</v>
      </c>
      <c r="AH130" s="45">
        <f>IF(AQ130="0",BJ130,0)</f>
        <v>0</v>
      </c>
      <c r="AI130" s="22" t="s">
        <v>495</v>
      </c>
      <c r="AJ130" s="45">
        <f>IF(AN130=0,J130,0)</f>
        <v>0</v>
      </c>
      <c r="AK130" s="45">
        <f>IF(AN130=12,J130,0)</f>
        <v>0</v>
      </c>
      <c r="AL130" s="45">
        <f>IF(AN130=21,J130,0)</f>
        <v>0</v>
      </c>
      <c r="AN130" s="45">
        <v>21</v>
      </c>
      <c r="AO130" s="45">
        <f>G130*0</f>
        <v>0</v>
      </c>
      <c r="AP130" s="45">
        <f>G130*(1-0)</f>
        <v>0</v>
      </c>
      <c r="AQ130" s="28" t="s">
        <v>694</v>
      </c>
      <c r="AV130" s="45">
        <f>AW130+AX130</f>
        <v>0</v>
      </c>
      <c r="AW130" s="45">
        <f>F130*AO130</f>
        <v>0</v>
      </c>
      <c r="AX130" s="45">
        <f>F130*AP130</f>
        <v>0</v>
      </c>
      <c r="AY130" s="28" t="s">
        <v>551</v>
      </c>
      <c r="AZ130" s="28" t="s">
        <v>576</v>
      </c>
      <c r="BA130" s="22" t="s">
        <v>544</v>
      </c>
      <c r="BC130" s="45">
        <f>AW130+AX130</f>
        <v>0</v>
      </c>
      <c r="BD130" s="45">
        <f>G130/(100-BE130)*100</f>
        <v>0</v>
      </c>
      <c r="BE130" s="45">
        <v>0</v>
      </c>
      <c r="BF130" s="45">
        <f>130</f>
        <v>130</v>
      </c>
      <c r="BH130" s="45">
        <f>F130*AO130</f>
        <v>0</v>
      </c>
      <c r="BI130" s="45">
        <f>F130*AP130</f>
        <v>0</v>
      </c>
      <c r="BJ130" s="45">
        <f>F130*G130</f>
        <v>0</v>
      </c>
      <c r="BK130" s="45"/>
      <c r="BL130" s="45">
        <v>713</v>
      </c>
      <c r="BW130" s="45">
        <v>21</v>
      </c>
    </row>
    <row r="131" spans="1:75" ht="15" customHeight="1">
      <c r="A131" s="49"/>
      <c r="C131" s="12" t="s">
        <v>462</v>
      </c>
      <c r="D131" s="12" t="s">
        <v>495</v>
      </c>
      <c r="F131" s="47">
        <v>175.00000000000003</v>
      </c>
      <c r="K131" s="16"/>
    </row>
    <row r="132" spans="1:75" ht="13.5" customHeight="1">
      <c r="A132" s="15" t="s">
        <v>687</v>
      </c>
      <c r="B132" s="4" t="s">
        <v>118</v>
      </c>
      <c r="C132" s="66" t="s">
        <v>599</v>
      </c>
      <c r="D132" s="63"/>
      <c r="E132" s="4" t="s">
        <v>686</v>
      </c>
      <c r="F132" s="45">
        <v>192.5</v>
      </c>
      <c r="G132" s="45">
        <v>0</v>
      </c>
      <c r="H132" s="45">
        <f>F132*AO132</f>
        <v>0</v>
      </c>
      <c r="I132" s="45">
        <f>F132*AP132</f>
        <v>0</v>
      </c>
      <c r="J132" s="45">
        <f>F132*G132</f>
        <v>0</v>
      </c>
      <c r="K132" s="43" t="s">
        <v>319</v>
      </c>
      <c r="Z132" s="45">
        <f>IF(AQ132="5",BJ132,0)</f>
        <v>0</v>
      </c>
      <c r="AB132" s="45">
        <f>IF(AQ132="1",BH132,0)</f>
        <v>0</v>
      </c>
      <c r="AC132" s="45">
        <f>IF(AQ132="1",BI132,0)</f>
        <v>0</v>
      </c>
      <c r="AD132" s="45">
        <f>IF(AQ132="7",BH132,0)</f>
        <v>0</v>
      </c>
      <c r="AE132" s="45">
        <f>IF(AQ132="7",BI132,0)</f>
        <v>0</v>
      </c>
      <c r="AF132" s="45">
        <f>IF(AQ132="2",BH132,0)</f>
        <v>0</v>
      </c>
      <c r="AG132" s="45">
        <f>IF(AQ132="2",BI132,0)</f>
        <v>0</v>
      </c>
      <c r="AH132" s="45">
        <f>IF(AQ132="0",BJ132,0)</f>
        <v>0</v>
      </c>
      <c r="AI132" s="22" t="s">
        <v>495</v>
      </c>
      <c r="AJ132" s="45">
        <f>IF(AN132=0,J132,0)</f>
        <v>0</v>
      </c>
      <c r="AK132" s="45">
        <f>IF(AN132=12,J132,0)</f>
        <v>0</v>
      </c>
      <c r="AL132" s="45">
        <f>IF(AN132=21,J132,0)</f>
        <v>0</v>
      </c>
      <c r="AN132" s="45">
        <v>21</v>
      </c>
      <c r="AO132" s="45">
        <f>G132*1</f>
        <v>0</v>
      </c>
      <c r="AP132" s="45">
        <f>G132*(1-1)</f>
        <v>0</v>
      </c>
      <c r="AQ132" s="28" t="s">
        <v>694</v>
      </c>
      <c r="AV132" s="45">
        <f>AW132+AX132</f>
        <v>0</v>
      </c>
      <c r="AW132" s="45">
        <f>F132*AO132</f>
        <v>0</v>
      </c>
      <c r="AX132" s="45">
        <f>F132*AP132</f>
        <v>0</v>
      </c>
      <c r="AY132" s="28" t="s">
        <v>551</v>
      </c>
      <c r="AZ132" s="28" t="s">
        <v>576</v>
      </c>
      <c r="BA132" s="22" t="s">
        <v>544</v>
      </c>
      <c r="BC132" s="45">
        <f>AW132+AX132</f>
        <v>0</v>
      </c>
      <c r="BD132" s="45">
        <f>G132/(100-BE132)*100</f>
        <v>0</v>
      </c>
      <c r="BE132" s="45">
        <v>0</v>
      </c>
      <c r="BF132" s="45">
        <f>132</f>
        <v>132</v>
      </c>
      <c r="BH132" s="45">
        <f>F132*AO132</f>
        <v>0</v>
      </c>
      <c r="BI132" s="45">
        <f>F132*AP132</f>
        <v>0</v>
      </c>
      <c r="BJ132" s="45">
        <f>F132*G132</f>
        <v>0</v>
      </c>
      <c r="BK132" s="45"/>
      <c r="BL132" s="45">
        <v>713</v>
      </c>
      <c r="BW132" s="45">
        <v>21</v>
      </c>
    </row>
    <row r="133" spans="1:75" ht="15" customHeight="1">
      <c r="A133" s="49"/>
      <c r="C133" s="12" t="s">
        <v>304</v>
      </c>
      <c r="D133" s="12" t="s">
        <v>495</v>
      </c>
      <c r="F133" s="47">
        <v>192.50000000000003</v>
      </c>
      <c r="K133" s="16"/>
    </row>
    <row r="134" spans="1:75" ht="13.5" customHeight="1">
      <c r="A134" s="15" t="s">
        <v>123</v>
      </c>
      <c r="B134" s="4" t="s">
        <v>157</v>
      </c>
      <c r="C134" s="66" t="s">
        <v>430</v>
      </c>
      <c r="D134" s="63"/>
      <c r="E134" s="4" t="s">
        <v>686</v>
      </c>
      <c r="F134" s="45">
        <v>201.25</v>
      </c>
      <c r="G134" s="45">
        <v>0</v>
      </c>
      <c r="H134" s="45">
        <f>F134*AO134</f>
        <v>0</v>
      </c>
      <c r="I134" s="45">
        <f>F134*AP134</f>
        <v>0</v>
      </c>
      <c r="J134" s="45">
        <f>F134*G134</f>
        <v>0</v>
      </c>
      <c r="K134" s="43" t="s">
        <v>319</v>
      </c>
      <c r="Z134" s="45">
        <f>IF(AQ134="5",BJ134,0)</f>
        <v>0</v>
      </c>
      <c r="AB134" s="45">
        <f>IF(AQ134="1",BH134,0)</f>
        <v>0</v>
      </c>
      <c r="AC134" s="45">
        <f>IF(AQ134="1",BI134,0)</f>
        <v>0</v>
      </c>
      <c r="AD134" s="45">
        <f>IF(AQ134="7",BH134,0)</f>
        <v>0</v>
      </c>
      <c r="AE134" s="45">
        <f>IF(AQ134="7",BI134,0)</f>
        <v>0</v>
      </c>
      <c r="AF134" s="45">
        <f>IF(AQ134="2",BH134,0)</f>
        <v>0</v>
      </c>
      <c r="AG134" s="45">
        <f>IF(AQ134="2",BI134,0)</f>
        <v>0</v>
      </c>
      <c r="AH134" s="45">
        <f>IF(AQ134="0",BJ134,0)</f>
        <v>0</v>
      </c>
      <c r="AI134" s="22" t="s">
        <v>495</v>
      </c>
      <c r="AJ134" s="45">
        <f>IF(AN134=0,J134,0)</f>
        <v>0</v>
      </c>
      <c r="AK134" s="45">
        <f>IF(AN134=12,J134,0)</f>
        <v>0</v>
      </c>
      <c r="AL134" s="45">
        <f>IF(AN134=21,J134,0)</f>
        <v>0</v>
      </c>
      <c r="AN134" s="45">
        <v>21</v>
      </c>
      <c r="AO134" s="45">
        <f>G134*0.215958607276077</f>
        <v>0</v>
      </c>
      <c r="AP134" s="45">
        <f>G134*(1-0.215958607276077)</f>
        <v>0</v>
      </c>
      <c r="AQ134" s="28" t="s">
        <v>694</v>
      </c>
      <c r="AV134" s="45">
        <f>AW134+AX134</f>
        <v>0</v>
      </c>
      <c r="AW134" s="45">
        <f>F134*AO134</f>
        <v>0</v>
      </c>
      <c r="AX134" s="45">
        <f>F134*AP134</f>
        <v>0</v>
      </c>
      <c r="AY134" s="28" t="s">
        <v>551</v>
      </c>
      <c r="AZ134" s="28" t="s">
        <v>576</v>
      </c>
      <c r="BA134" s="22" t="s">
        <v>544</v>
      </c>
      <c r="BC134" s="45">
        <f>AW134+AX134</f>
        <v>0</v>
      </c>
      <c r="BD134" s="45">
        <f>G134/(100-BE134)*100</f>
        <v>0</v>
      </c>
      <c r="BE134" s="45">
        <v>0</v>
      </c>
      <c r="BF134" s="45">
        <f>134</f>
        <v>134</v>
      </c>
      <c r="BH134" s="45">
        <f>F134*AO134</f>
        <v>0</v>
      </c>
      <c r="BI134" s="45">
        <f>F134*AP134</f>
        <v>0</v>
      </c>
      <c r="BJ134" s="45">
        <f>F134*G134</f>
        <v>0</v>
      </c>
      <c r="BK134" s="45"/>
      <c r="BL134" s="45">
        <v>713</v>
      </c>
      <c r="BW134" s="45">
        <v>21</v>
      </c>
    </row>
    <row r="135" spans="1:75" ht="15" customHeight="1">
      <c r="A135" s="49"/>
      <c r="C135" s="12" t="s">
        <v>258</v>
      </c>
      <c r="D135" s="12" t="s">
        <v>495</v>
      </c>
      <c r="F135" s="47">
        <v>201.25000000000003</v>
      </c>
      <c r="K135" s="16"/>
    </row>
    <row r="136" spans="1:75" ht="13.5" customHeight="1">
      <c r="A136" s="15" t="s">
        <v>221</v>
      </c>
      <c r="B136" s="4" t="s">
        <v>360</v>
      </c>
      <c r="C136" s="66" t="s">
        <v>243</v>
      </c>
      <c r="D136" s="63"/>
      <c r="E136" s="4" t="s">
        <v>686</v>
      </c>
      <c r="F136" s="45">
        <v>188</v>
      </c>
      <c r="G136" s="45">
        <v>0</v>
      </c>
      <c r="H136" s="45">
        <f>F136*AO136</f>
        <v>0</v>
      </c>
      <c r="I136" s="45">
        <f>F136*AP136</f>
        <v>0</v>
      </c>
      <c r="J136" s="45">
        <f>F136*G136</f>
        <v>0</v>
      </c>
      <c r="K136" s="43" t="s">
        <v>319</v>
      </c>
      <c r="Z136" s="45">
        <f>IF(AQ136="5",BJ136,0)</f>
        <v>0</v>
      </c>
      <c r="AB136" s="45">
        <f>IF(AQ136="1",BH136,0)</f>
        <v>0</v>
      </c>
      <c r="AC136" s="45">
        <f>IF(AQ136="1",BI136,0)</f>
        <v>0</v>
      </c>
      <c r="AD136" s="45">
        <f>IF(AQ136="7",BH136,0)</f>
        <v>0</v>
      </c>
      <c r="AE136" s="45">
        <f>IF(AQ136="7",BI136,0)</f>
        <v>0</v>
      </c>
      <c r="AF136" s="45">
        <f>IF(AQ136="2",BH136,0)</f>
        <v>0</v>
      </c>
      <c r="AG136" s="45">
        <f>IF(AQ136="2",BI136,0)</f>
        <v>0</v>
      </c>
      <c r="AH136" s="45">
        <f>IF(AQ136="0",BJ136,0)</f>
        <v>0</v>
      </c>
      <c r="AI136" s="22" t="s">
        <v>495</v>
      </c>
      <c r="AJ136" s="45">
        <f>IF(AN136=0,J136,0)</f>
        <v>0</v>
      </c>
      <c r="AK136" s="45">
        <f>IF(AN136=12,J136,0)</f>
        <v>0</v>
      </c>
      <c r="AL136" s="45">
        <f>IF(AN136=21,J136,0)</f>
        <v>0</v>
      </c>
      <c r="AN136" s="45">
        <v>21</v>
      </c>
      <c r="AO136" s="45">
        <f>G136*0</f>
        <v>0</v>
      </c>
      <c r="AP136" s="45">
        <f>G136*(1-0)</f>
        <v>0</v>
      </c>
      <c r="AQ136" s="28" t="s">
        <v>694</v>
      </c>
      <c r="AV136" s="45">
        <f>AW136+AX136</f>
        <v>0</v>
      </c>
      <c r="AW136" s="45">
        <f>F136*AO136</f>
        <v>0</v>
      </c>
      <c r="AX136" s="45">
        <f>F136*AP136</f>
        <v>0</v>
      </c>
      <c r="AY136" s="28" t="s">
        <v>551</v>
      </c>
      <c r="AZ136" s="28" t="s">
        <v>576</v>
      </c>
      <c r="BA136" s="22" t="s">
        <v>544</v>
      </c>
      <c r="BC136" s="45">
        <f>AW136+AX136</f>
        <v>0</v>
      </c>
      <c r="BD136" s="45">
        <f>G136/(100-BE136)*100</f>
        <v>0</v>
      </c>
      <c r="BE136" s="45">
        <v>0</v>
      </c>
      <c r="BF136" s="45">
        <f>136</f>
        <v>136</v>
      </c>
      <c r="BH136" s="45">
        <f>F136*AO136</f>
        <v>0</v>
      </c>
      <c r="BI136" s="45">
        <f>F136*AP136</f>
        <v>0</v>
      </c>
      <c r="BJ136" s="45">
        <f>F136*G136</f>
        <v>0</v>
      </c>
      <c r="BK136" s="45"/>
      <c r="BL136" s="45">
        <v>713</v>
      </c>
      <c r="BW136" s="45">
        <v>21</v>
      </c>
    </row>
    <row r="137" spans="1:75" ht="15" customHeight="1">
      <c r="A137" s="49"/>
      <c r="C137" s="12" t="s">
        <v>668</v>
      </c>
      <c r="D137" s="12" t="s">
        <v>495</v>
      </c>
      <c r="F137" s="47">
        <v>188.00000000000003</v>
      </c>
      <c r="K137" s="16"/>
    </row>
    <row r="138" spans="1:75" ht="13.5" customHeight="1">
      <c r="A138" s="15" t="s">
        <v>306</v>
      </c>
      <c r="B138" s="4" t="s">
        <v>439</v>
      </c>
      <c r="C138" s="66" t="s">
        <v>770</v>
      </c>
      <c r="D138" s="63"/>
      <c r="E138" s="4" t="s">
        <v>686</v>
      </c>
      <c r="F138" s="45">
        <v>394.8</v>
      </c>
      <c r="G138" s="45">
        <v>0</v>
      </c>
      <c r="H138" s="45">
        <f>F138*AO138</f>
        <v>0</v>
      </c>
      <c r="I138" s="45">
        <f>F138*AP138</f>
        <v>0</v>
      </c>
      <c r="J138" s="45">
        <f>F138*G138</f>
        <v>0</v>
      </c>
      <c r="K138" s="43" t="s">
        <v>319</v>
      </c>
      <c r="Z138" s="45">
        <f>IF(AQ138="5",BJ138,0)</f>
        <v>0</v>
      </c>
      <c r="AB138" s="45">
        <f>IF(AQ138="1",BH138,0)</f>
        <v>0</v>
      </c>
      <c r="AC138" s="45">
        <f>IF(AQ138="1",BI138,0)</f>
        <v>0</v>
      </c>
      <c r="AD138" s="45">
        <f>IF(AQ138="7",BH138,0)</f>
        <v>0</v>
      </c>
      <c r="AE138" s="45">
        <f>IF(AQ138="7",BI138,0)</f>
        <v>0</v>
      </c>
      <c r="AF138" s="45">
        <f>IF(AQ138="2",BH138,0)</f>
        <v>0</v>
      </c>
      <c r="AG138" s="45">
        <f>IF(AQ138="2",BI138,0)</f>
        <v>0</v>
      </c>
      <c r="AH138" s="45">
        <f>IF(AQ138="0",BJ138,0)</f>
        <v>0</v>
      </c>
      <c r="AI138" s="22" t="s">
        <v>495</v>
      </c>
      <c r="AJ138" s="45">
        <f>IF(AN138=0,J138,0)</f>
        <v>0</v>
      </c>
      <c r="AK138" s="45">
        <f>IF(AN138=12,J138,0)</f>
        <v>0</v>
      </c>
      <c r="AL138" s="45">
        <f>IF(AN138=21,J138,0)</f>
        <v>0</v>
      </c>
      <c r="AN138" s="45">
        <v>21</v>
      </c>
      <c r="AO138" s="45">
        <f>G138*1</f>
        <v>0</v>
      </c>
      <c r="AP138" s="45">
        <f>G138*(1-1)</f>
        <v>0</v>
      </c>
      <c r="AQ138" s="28" t="s">
        <v>694</v>
      </c>
      <c r="AV138" s="45">
        <f>AW138+AX138</f>
        <v>0</v>
      </c>
      <c r="AW138" s="45">
        <f>F138*AO138</f>
        <v>0</v>
      </c>
      <c r="AX138" s="45">
        <f>F138*AP138</f>
        <v>0</v>
      </c>
      <c r="AY138" s="28" t="s">
        <v>551</v>
      </c>
      <c r="AZ138" s="28" t="s">
        <v>576</v>
      </c>
      <c r="BA138" s="22" t="s">
        <v>544</v>
      </c>
      <c r="BC138" s="45">
        <f>AW138+AX138</f>
        <v>0</v>
      </c>
      <c r="BD138" s="45">
        <f>G138/(100-BE138)*100</f>
        <v>0</v>
      </c>
      <c r="BE138" s="45">
        <v>0</v>
      </c>
      <c r="BF138" s="45">
        <f>138</f>
        <v>138</v>
      </c>
      <c r="BH138" s="45">
        <f>F138*AO138</f>
        <v>0</v>
      </c>
      <c r="BI138" s="45">
        <f>F138*AP138</f>
        <v>0</v>
      </c>
      <c r="BJ138" s="45">
        <f>F138*G138</f>
        <v>0</v>
      </c>
      <c r="BK138" s="45"/>
      <c r="BL138" s="45">
        <v>713</v>
      </c>
      <c r="BW138" s="45">
        <v>21</v>
      </c>
    </row>
    <row r="139" spans="1:75" ht="15" customHeight="1">
      <c r="A139" s="49"/>
      <c r="C139" s="12" t="s">
        <v>196</v>
      </c>
      <c r="D139" s="12" t="s">
        <v>495</v>
      </c>
      <c r="F139" s="47">
        <v>376.00000000000006</v>
      </c>
      <c r="K139" s="16"/>
    </row>
    <row r="140" spans="1:75" ht="15" customHeight="1">
      <c r="A140" s="49"/>
      <c r="C140" s="12" t="s">
        <v>316</v>
      </c>
      <c r="D140" s="12" t="s">
        <v>495</v>
      </c>
      <c r="F140" s="47">
        <v>18.8</v>
      </c>
      <c r="K140" s="16"/>
    </row>
    <row r="141" spans="1:75" ht="13.5" customHeight="1">
      <c r="A141" s="15" t="s">
        <v>239</v>
      </c>
      <c r="B141" s="4" t="s">
        <v>512</v>
      </c>
      <c r="C141" s="66" t="s">
        <v>104</v>
      </c>
      <c r="D141" s="63"/>
      <c r="E141" s="4" t="s">
        <v>686</v>
      </c>
      <c r="F141" s="45">
        <v>216.2</v>
      </c>
      <c r="G141" s="45">
        <v>0</v>
      </c>
      <c r="H141" s="45">
        <f>F141*AO141</f>
        <v>0</v>
      </c>
      <c r="I141" s="45">
        <f>F141*AP141</f>
        <v>0</v>
      </c>
      <c r="J141" s="45">
        <f>F141*G141</f>
        <v>0</v>
      </c>
      <c r="K141" s="43" t="s">
        <v>319</v>
      </c>
      <c r="Z141" s="45">
        <f>IF(AQ141="5",BJ141,0)</f>
        <v>0</v>
      </c>
      <c r="AB141" s="45">
        <f>IF(AQ141="1",BH141,0)</f>
        <v>0</v>
      </c>
      <c r="AC141" s="45">
        <f>IF(AQ141="1",BI141,0)</f>
        <v>0</v>
      </c>
      <c r="AD141" s="45">
        <f>IF(AQ141="7",BH141,0)</f>
        <v>0</v>
      </c>
      <c r="AE141" s="45">
        <f>IF(AQ141="7",BI141,0)</f>
        <v>0</v>
      </c>
      <c r="AF141" s="45">
        <f>IF(AQ141="2",BH141,0)</f>
        <v>0</v>
      </c>
      <c r="AG141" s="45">
        <f>IF(AQ141="2",BI141,0)</f>
        <v>0</v>
      </c>
      <c r="AH141" s="45">
        <f>IF(AQ141="0",BJ141,0)</f>
        <v>0</v>
      </c>
      <c r="AI141" s="22" t="s">
        <v>495</v>
      </c>
      <c r="AJ141" s="45">
        <f>IF(AN141=0,J141,0)</f>
        <v>0</v>
      </c>
      <c r="AK141" s="45">
        <f>IF(AN141=12,J141,0)</f>
        <v>0</v>
      </c>
      <c r="AL141" s="45">
        <f>IF(AN141=21,J141,0)</f>
        <v>0</v>
      </c>
      <c r="AN141" s="45">
        <v>21</v>
      </c>
      <c r="AO141" s="45">
        <f>G141*0.211576846307385</f>
        <v>0</v>
      </c>
      <c r="AP141" s="45">
        <f>G141*(1-0.211576846307385)</f>
        <v>0</v>
      </c>
      <c r="AQ141" s="28" t="s">
        <v>694</v>
      </c>
      <c r="AV141" s="45">
        <f>AW141+AX141</f>
        <v>0</v>
      </c>
      <c r="AW141" s="45">
        <f>F141*AO141</f>
        <v>0</v>
      </c>
      <c r="AX141" s="45">
        <f>F141*AP141</f>
        <v>0</v>
      </c>
      <c r="AY141" s="28" t="s">
        <v>551</v>
      </c>
      <c r="AZ141" s="28" t="s">
        <v>576</v>
      </c>
      <c r="BA141" s="22" t="s">
        <v>544</v>
      </c>
      <c r="BC141" s="45">
        <f>AW141+AX141</f>
        <v>0</v>
      </c>
      <c r="BD141" s="45">
        <f>G141/(100-BE141)*100</f>
        <v>0</v>
      </c>
      <c r="BE141" s="45">
        <v>0</v>
      </c>
      <c r="BF141" s="45">
        <f>141</f>
        <v>141</v>
      </c>
      <c r="BH141" s="45">
        <f>F141*AO141</f>
        <v>0</v>
      </c>
      <c r="BI141" s="45">
        <f>F141*AP141</f>
        <v>0</v>
      </c>
      <c r="BJ141" s="45">
        <f>F141*G141</f>
        <v>0</v>
      </c>
      <c r="BK141" s="45"/>
      <c r="BL141" s="45">
        <v>713</v>
      </c>
      <c r="BW141" s="45">
        <v>21</v>
      </c>
    </row>
    <row r="142" spans="1:75" ht="15" customHeight="1">
      <c r="A142" s="49"/>
      <c r="C142" s="12" t="s">
        <v>774</v>
      </c>
      <c r="D142" s="12" t="s">
        <v>495</v>
      </c>
      <c r="F142" s="47">
        <v>216.20000000000002</v>
      </c>
      <c r="K142" s="16"/>
    </row>
    <row r="143" spans="1:75" ht="15" customHeight="1">
      <c r="A143" s="42" t="s">
        <v>495</v>
      </c>
      <c r="B143" s="39" t="s">
        <v>456</v>
      </c>
      <c r="C143" s="79" t="s">
        <v>782</v>
      </c>
      <c r="D143" s="80"/>
      <c r="E143" s="27" t="s">
        <v>653</v>
      </c>
      <c r="F143" s="27" t="s">
        <v>653</v>
      </c>
      <c r="G143" s="27" t="s">
        <v>653</v>
      </c>
      <c r="H143" s="11">
        <f>SUM(H144:H150)</f>
        <v>0</v>
      </c>
      <c r="I143" s="11">
        <f>SUM(I144:I150)</f>
        <v>0</v>
      </c>
      <c r="J143" s="11">
        <f>SUM(J144:J150)</f>
        <v>0</v>
      </c>
      <c r="K143" s="50" t="s">
        <v>495</v>
      </c>
      <c r="AI143" s="22" t="s">
        <v>495</v>
      </c>
      <c r="AS143" s="11">
        <f>SUM(AJ144:AJ150)</f>
        <v>0</v>
      </c>
      <c r="AT143" s="11">
        <f>SUM(AK144:AK150)</f>
        <v>0</v>
      </c>
      <c r="AU143" s="11">
        <f>SUM(AL144:AL150)</f>
        <v>0</v>
      </c>
    </row>
    <row r="144" spans="1:75" ht="13.5" customHeight="1">
      <c r="A144" s="15" t="s">
        <v>570</v>
      </c>
      <c r="B144" s="4" t="s">
        <v>468</v>
      </c>
      <c r="C144" s="66" t="s">
        <v>664</v>
      </c>
      <c r="D144" s="63"/>
      <c r="E144" s="4" t="s">
        <v>168</v>
      </c>
      <c r="F144" s="45">
        <v>4</v>
      </c>
      <c r="G144" s="45">
        <v>0</v>
      </c>
      <c r="H144" s="45">
        <f>F144*AO144</f>
        <v>0</v>
      </c>
      <c r="I144" s="45">
        <f>F144*AP144</f>
        <v>0</v>
      </c>
      <c r="J144" s="45">
        <f>F144*G144</f>
        <v>0</v>
      </c>
      <c r="K144" s="43" t="s">
        <v>319</v>
      </c>
      <c r="Z144" s="45">
        <f>IF(AQ144="5",BJ144,0)</f>
        <v>0</v>
      </c>
      <c r="AB144" s="45">
        <f>IF(AQ144="1",BH144,0)</f>
        <v>0</v>
      </c>
      <c r="AC144" s="45">
        <f>IF(AQ144="1",BI144,0)</f>
        <v>0</v>
      </c>
      <c r="AD144" s="45">
        <f>IF(AQ144="7",BH144,0)</f>
        <v>0</v>
      </c>
      <c r="AE144" s="45">
        <f>IF(AQ144="7",BI144,0)</f>
        <v>0</v>
      </c>
      <c r="AF144" s="45">
        <f>IF(AQ144="2",BH144,0)</f>
        <v>0</v>
      </c>
      <c r="AG144" s="45">
        <f>IF(AQ144="2",BI144,0)</f>
        <v>0</v>
      </c>
      <c r="AH144" s="45">
        <f>IF(AQ144="0",BJ144,0)</f>
        <v>0</v>
      </c>
      <c r="AI144" s="22" t="s">
        <v>495</v>
      </c>
      <c r="AJ144" s="45">
        <f>IF(AN144=0,J144,0)</f>
        <v>0</v>
      </c>
      <c r="AK144" s="45">
        <f>IF(AN144=12,J144,0)</f>
        <v>0</v>
      </c>
      <c r="AL144" s="45">
        <f>IF(AN144=21,J144,0)</f>
        <v>0</v>
      </c>
      <c r="AN144" s="45">
        <v>21</v>
      </c>
      <c r="AO144" s="45">
        <f>G144*0</f>
        <v>0</v>
      </c>
      <c r="AP144" s="45">
        <f>G144*(1-0)</f>
        <v>0</v>
      </c>
      <c r="AQ144" s="28" t="s">
        <v>694</v>
      </c>
      <c r="AV144" s="45">
        <f>AW144+AX144</f>
        <v>0</v>
      </c>
      <c r="AW144" s="45">
        <f>F144*AO144</f>
        <v>0</v>
      </c>
      <c r="AX144" s="45">
        <f>F144*AP144</f>
        <v>0</v>
      </c>
      <c r="AY144" s="28" t="s">
        <v>102</v>
      </c>
      <c r="AZ144" s="28" t="s">
        <v>29</v>
      </c>
      <c r="BA144" s="22" t="s">
        <v>544</v>
      </c>
      <c r="BC144" s="45">
        <f>AW144+AX144</f>
        <v>0</v>
      </c>
      <c r="BD144" s="45">
        <f>G144/(100-BE144)*100</f>
        <v>0</v>
      </c>
      <c r="BE144" s="45">
        <v>0</v>
      </c>
      <c r="BF144" s="45">
        <f>144</f>
        <v>144</v>
      </c>
      <c r="BH144" s="45">
        <f>F144*AO144</f>
        <v>0</v>
      </c>
      <c r="BI144" s="45">
        <f>F144*AP144</f>
        <v>0</v>
      </c>
      <c r="BJ144" s="45">
        <f>F144*G144</f>
        <v>0</v>
      </c>
      <c r="BK144" s="45"/>
      <c r="BL144" s="45">
        <v>721</v>
      </c>
      <c r="BW144" s="45">
        <v>21</v>
      </c>
    </row>
    <row r="145" spans="1:75" ht="15" customHeight="1">
      <c r="A145" s="49"/>
      <c r="C145" s="12" t="s">
        <v>343</v>
      </c>
      <c r="D145" s="12" t="s">
        <v>495</v>
      </c>
      <c r="F145" s="47">
        <v>4</v>
      </c>
      <c r="K145" s="16"/>
    </row>
    <row r="146" spans="1:75" ht="13.5" customHeight="1">
      <c r="A146" s="15" t="s">
        <v>716</v>
      </c>
      <c r="B146" s="4" t="s">
        <v>363</v>
      </c>
      <c r="C146" s="66" t="s">
        <v>445</v>
      </c>
      <c r="D146" s="63"/>
      <c r="E146" s="4" t="s">
        <v>168</v>
      </c>
      <c r="F146" s="45">
        <v>2</v>
      </c>
      <c r="G146" s="45">
        <v>0</v>
      </c>
      <c r="H146" s="45">
        <f>F146*AO146</f>
        <v>0</v>
      </c>
      <c r="I146" s="45">
        <f>F146*AP146</f>
        <v>0</v>
      </c>
      <c r="J146" s="45">
        <f>F146*G146</f>
        <v>0</v>
      </c>
      <c r="K146" s="43" t="s">
        <v>319</v>
      </c>
      <c r="Z146" s="45">
        <f>IF(AQ146="5",BJ146,0)</f>
        <v>0</v>
      </c>
      <c r="AB146" s="45">
        <f>IF(AQ146="1",BH146,0)</f>
        <v>0</v>
      </c>
      <c r="AC146" s="45">
        <f>IF(AQ146="1",BI146,0)</f>
        <v>0</v>
      </c>
      <c r="AD146" s="45">
        <f>IF(AQ146="7",BH146,0)</f>
        <v>0</v>
      </c>
      <c r="AE146" s="45">
        <f>IF(AQ146="7",BI146,0)</f>
        <v>0</v>
      </c>
      <c r="AF146" s="45">
        <f>IF(AQ146="2",BH146,0)</f>
        <v>0</v>
      </c>
      <c r="AG146" s="45">
        <f>IF(AQ146="2",BI146,0)</f>
        <v>0</v>
      </c>
      <c r="AH146" s="45">
        <f>IF(AQ146="0",BJ146,0)</f>
        <v>0</v>
      </c>
      <c r="AI146" s="22" t="s">
        <v>495</v>
      </c>
      <c r="AJ146" s="45">
        <f>IF(AN146=0,J146,0)</f>
        <v>0</v>
      </c>
      <c r="AK146" s="45">
        <f>IF(AN146=12,J146,0)</f>
        <v>0</v>
      </c>
      <c r="AL146" s="45">
        <f>IF(AN146=21,J146,0)</f>
        <v>0</v>
      </c>
      <c r="AN146" s="45">
        <v>21</v>
      </c>
      <c r="AO146" s="45">
        <f>G146*0.229216683621567</f>
        <v>0</v>
      </c>
      <c r="AP146" s="45">
        <f>G146*(1-0.229216683621567)</f>
        <v>0</v>
      </c>
      <c r="AQ146" s="28" t="s">
        <v>694</v>
      </c>
      <c r="AV146" s="45">
        <f>AW146+AX146</f>
        <v>0</v>
      </c>
      <c r="AW146" s="45">
        <f>F146*AO146</f>
        <v>0</v>
      </c>
      <c r="AX146" s="45">
        <f>F146*AP146</f>
        <v>0</v>
      </c>
      <c r="AY146" s="28" t="s">
        <v>102</v>
      </c>
      <c r="AZ146" s="28" t="s">
        <v>29</v>
      </c>
      <c r="BA146" s="22" t="s">
        <v>544</v>
      </c>
      <c r="BC146" s="45">
        <f>AW146+AX146</f>
        <v>0</v>
      </c>
      <c r="BD146" s="45">
        <f>G146/(100-BE146)*100</f>
        <v>0</v>
      </c>
      <c r="BE146" s="45">
        <v>0</v>
      </c>
      <c r="BF146" s="45">
        <f>146</f>
        <v>146</v>
      </c>
      <c r="BH146" s="45">
        <f>F146*AO146</f>
        <v>0</v>
      </c>
      <c r="BI146" s="45">
        <f>F146*AP146</f>
        <v>0</v>
      </c>
      <c r="BJ146" s="45">
        <f>F146*G146</f>
        <v>0</v>
      </c>
      <c r="BK146" s="45"/>
      <c r="BL146" s="45">
        <v>721</v>
      </c>
      <c r="BW146" s="45">
        <v>21</v>
      </c>
    </row>
    <row r="147" spans="1:75" ht="15" customHeight="1">
      <c r="A147" s="49"/>
      <c r="C147" s="12" t="s">
        <v>94</v>
      </c>
      <c r="D147" s="12" t="s">
        <v>495</v>
      </c>
      <c r="F147" s="47">
        <v>2</v>
      </c>
      <c r="K147" s="16"/>
    </row>
    <row r="148" spans="1:75" ht="13.5" customHeight="1">
      <c r="A148" s="15" t="s">
        <v>35</v>
      </c>
      <c r="B148" s="4" t="s">
        <v>775</v>
      </c>
      <c r="C148" s="66" t="s">
        <v>531</v>
      </c>
      <c r="D148" s="63"/>
      <c r="E148" s="4" t="s">
        <v>168</v>
      </c>
      <c r="F148" s="45">
        <v>1</v>
      </c>
      <c r="G148" s="45">
        <v>0</v>
      </c>
      <c r="H148" s="45">
        <f>F148*AO148</f>
        <v>0</v>
      </c>
      <c r="I148" s="45">
        <f>F148*AP148</f>
        <v>0</v>
      </c>
      <c r="J148" s="45">
        <f>F148*G148</f>
        <v>0</v>
      </c>
      <c r="K148" s="43" t="s">
        <v>319</v>
      </c>
      <c r="Z148" s="45">
        <f>IF(AQ148="5",BJ148,0)</f>
        <v>0</v>
      </c>
      <c r="AB148" s="45">
        <f>IF(AQ148="1",BH148,0)</f>
        <v>0</v>
      </c>
      <c r="AC148" s="45">
        <f>IF(AQ148="1",BI148,0)</f>
        <v>0</v>
      </c>
      <c r="AD148" s="45">
        <f>IF(AQ148="7",BH148,0)</f>
        <v>0</v>
      </c>
      <c r="AE148" s="45">
        <f>IF(AQ148="7",BI148,0)</f>
        <v>0</v>
      </c>
      <c r="AF148" s="45">
        <f>IF(AQ148="2",BH148,0)</f>
        <v>0</v>
      </c>
      <c r="AG148" s="45">
        <f>IF(AQ148="2",BI148,0)</f>
        <v>0</v>
      </c>
      <c r="AH148" s="45">
        <f>IF(AQ148="0",BJ148,0)</f>
        <v>0</v>
      </c>
      <c r="AI148" s="22" t="s">
        <v>495</v>
      </c>
      <c r="AJ148" s="45">
        <f>IF(AN148=0,J148,0)</f>
        <v>0</v>
      </c>
      <c r="AK148" s="45">
        <f>IF(AN148=12,J148,0)</f>
        <v>0</v>
      </c>
      <c r="AL148" s="45">
        <f>IF(AN148=21,J148,0)</f>
        <v>0</v>
      </c>
      <c r="AN148" s="45">
        <v>21</v>
      </c>
      <c r="AO148" s="45">
        <f>G148*0.782302936630603</f>
        <v>0</v>
      </c>
      <c r="AP148" s="45">
        <f>G148*(1-0.782302936630603)</f>
        <v>0</v>
      </c>
      <c r="AQ148" s="28" t="s">
        <v>694</v>
      </c>
      <c r="AV148" s="45">
        <f>AW148+AX148</f>
        <v>0</v>
      </c>
      <c r="AW148" s="45">
        <f>F148*AO148</f>
        <v>0</v>
      </c>
      <c r="AX148" s="45">
        <f>F148*AP148</f>
        <v>0</v>
      </c>
      <c r="AY148" s="28" t="s">
        <v>102</v>
      </c>
      <c r="AZ148" s="28" t="s">
        <v>29</v>
      </c>
      <c r="BA148" s="22" t="s">
        <v>544</v>
      </c>
      <c r="BC148" s="45">
        <f>AW148+AX148</f>
        <v>0</v>
      </c>
      <c r="BD148" s="45">
        <f>G148/(100-BE148)*100</f>
        <v>0</v>
      </c>
      <c r="BE148" s="45">
        <v>0</v>
      </c>
      <c r="BF148" s="45">
        <f>148</f>
        <v>148</v>
      </c>
      <c r="BH148" s="45">
        <f>F148*AO148</f>
        <v>0</v>
      </c>
      <c r="BI148" s="45">
        <f>F148*AP148</f>
        <v>0</v>
      </c>
      <c r="BJ148" s="45">
        <f>F148*G148</f>
        <v>0</v>
      </c>
      <c r="BK148" s="45"/>
      <c r="BL148" s="45">
        <v>721</v>
      </c>
      <c r="BW148" s="45">
        <v>21</v>
      </c>
    </row>
    <row r="149" spans="1:75" ht="15" customHeight="1">
      <c r="A149" s="49"/>
      <c r="C149" s="12" t="s">
        <v>106</v>
      </c>
      <c r="D149" s="12" t="s">
        <v>495</v>
      </c>
      <c r="F149" s="47">
        <v>1</v>
      </c>
      <c r="K149" s="16"/>
    </row>
    <row r="150" spans="1:75" ht="13.5" customHeight="1">
      <c r="A150" s="15" t="s">
        <v>549</v>
      </c>
      <c r="B150" s="4" t="s">
        <v>223</v>
      </c>
      <c r="C150" s="66" t="s">
        <v>130</v>
      </c>
      <c r="D150" s="63"/>
      <c r="E150" s="4" t="s">
        <v>168</v>
      </c>
      <c r="F150" s="45">
        <v>2</v>
      </c>
      <c r="G150" s="45">
        <v>0</v>
      </c>
      <c r="H150" s="45">
        <f>F150*AO150</f>
        <v>0</v>
      </c>
      <c r="I150" s="45">
        <f>F150*AP150</f>
        <v>0</v>
      </c>
      <c r="J150" s="45">
        <f>F150*G150</f>
        <v>0</v>
      </c>
      <c r="K150" s="43" t="s">
        <v>319</v>
      </c>
      <c r="Z150" s="45">
        <f>IF(AQ150="5",BJ150,0)</f>
        <v>0</v>
      </c>
      <c r="AB150" s="45">
        <f>IF(AQ150="1",BH150,0)</f>
        <v>0</v>
      </c>
      <c r="AC150" s="45">
        <f>IF(AQ150="1",BI150,0)</f>
        <v>0</v>
      </c>
      <c r="AD150" s="45">
        <f>IF(AQ150="7",BH150,0)</f>
        <v>0</v>
      </c>
      <c r="AE150" s="45">
        <f>IF(AQ150="7",BI150,0)</f>
        <v>0</v>
      </c>
      <c r="AF150" s="45">
        <f>IF(AQ150="2",BH150,0)</f>
        <v>0</v>
      </c>
      <c r="AG150" s="45">
        <f>IF(AQ150="2",BI150,0)</f>
        <v>0</v>
      </c>
      <c r="AH150" s="45">
        <f>IF(AQ150="0",BJ150,0)</f>
        <v>0</v>
      </c>
      <c r="AI150" s="22" t="s">
        <v>495</v>
      </c>
      <c r="AJ150" s="45">
        <f>IF(AN150=0,J150,0)</f>
        <v>0</v>
      </c>
      <c r="AK150" s="45">
        <f>IF(AN150=12,J150,0)</f>
        <v>0</v>
      </c>
      <c r="AL150" s="45">
        <f>IF(AN150=21,J150,0)</f>
        <v>0</v>
      </c>
      <c r="AN150" s="45">
        <v>21</v>
      </c>
      <c r="AO150" s="45">
        <f>G150*0.782302936630603</f>
        <v>0</v>
      </c>
      <c r="AP150" s="45">
        <f>G150*(1-0.782302936630603)</f>
        <v>0</v>
      </c>
      <c r="AQ150" s="28" t="s">
        <v>694</v>
      </c>
      <c r="AV150" s="45">
        <f>AW150+AX150</f>
        <v>0</v>
      </c>
      <c r="AW150" s="45">
        <f>F150*AO150</f>
        <v>0</v>
      </c>
      <c r="AX150" s="45">
        <f>F150*AP150</f>
        <v>0</v>
      </c>
      <c r="AY150" s="28" t="s">
        <v>102</v>
      </c>
      <c r="AZ150" s="28" t="s">
        <v>29</v>
      </c>
      <c r="BA150" s="22" t="s">
        <v>544</v>
      </c>
      <c r="BC150" s="45">
        <f>AW150+AX150</f>
        <v>0</v>
      </c>
      <c r="BD150" s="45">
        <f>G150/(100-BE150)*100</f>
        <v>0</v>
      </c>
      <c r="BE150" s="45">
        <v>0</v>
      </c>
      <c r="BF150" s="45">
        <f>150</f>
        <v>150</v>
      </c>
      <c r="BH150" s="45">
        <f>F150*AO150</f>
        <v>0</v>
      </c>
      <c r="BI150" s="45">
        <f>F150*AP150</f>
        <v>0</v>
      </c>
      <c r="BJ150" s="45">
        <f>F150*G150</f>
        <v>0</v>
      </c>
      <c r="BK150" s="45"/>
      <c r="BL150" s="45">
        <v>721</v>
      </c>
      <c r="BW150" s="45">
        <v>21</v>
      </c>
    </row>
    <row r="151" spans="1:75" ht="15" customHeight="1">
      <c r="A151" s="49"/>
      <c r="C151" s="12" t="s">
        <v>271</v>
      </c>
      <c r="D151" s="12" t="s">
        <v>495</v>
      </c>
      <c r="F151" s="47">
        <v>2</v>
      </c>
      <c r="K151" s="16"/>
    </row>
    <row r="152" spans="1:75" ht="15" customHeight="1">
      <c r="A152" s="42" t="s">
        <v>495</v>
      </c>
      <c r="B152" s="39" t="s">
        <v>510</v>
      </c>
      <c r="C152" s="79" t="s">
        <v>152</v>
      </c>
      <c r="D152" s="80"/>
      <c r="E152" s="27" t="s">
        <v>653</v>
      </c>
      <c r="F152" s="27" t="s">
        <v>653</v>
      </c>
      <c r="G152" s="27" t="s">
        <v>653</v>
      </c>
      <c r="H152" s="11">
        <f>SUM(H153:H153)</f>
        <v>0</v>
      </c>
      <c r="I152" s="11">
        <f>SUM(I153:I153)</f>
        <v>0</v>
      </c>
      <c r="J152" s="11">
        <f>SUM(J153:J153)</f>
        <v>0</v>
      </c>
      <c r="K152" s="50" t="s">
        <v>495</v>
      </c>
      <c r="AI152" s="22" t="s">
        <v>495</v>
      </c>
      <c r="AS152" s="11">
        <f>SUM(AJ153:AJ153)</f>
        <v>0</v>
      </c>
      <c r="AT152" s="11">
        <f>SUM(AK153:AK153)</f>
        <v>0</v>
      </c>
      <c r="AU152" s="11">
        <f>SUM(AL153:AL153)</f>
        <v>0</v>
      </c>
    </row>
    <row r="153" spans="1:75" ht="13.5" customHeight="1">
      <c r="A153" s="15" t="s">
        <v>582</v>
      </c>
      <c r="B153" s="4" t="s">
        <v>2</v>
      </c>
      <c r="C153" s="66" t="s">
        <v>54</v>
      </c>
      <c r="D153" s="63"/>
      <c r="E153" s="4" t="s">
        <v>526</v>
      </c>
      <c r="F153" s="45">
        <v>1</v>
      </c>
      <c r="G153" s="45">
        <v>0</v>
      </c>
      <c r="H153" s="45">
        <f>F153*AO153</f>
        <v>0</v>
      </c>
      <c r="I153" s="45">
        <f>F153*AP153</f>
        <v>0</v>
      </c>
      <c r="J153" s="45">
        <f>F153*G153</f>
        <v>0</v>
      </c>
      <c r="K153" s="43" t="s">
        <v>495</v>
      </c>
      <c r="Z153" s="45">
        <f>IF(AQ153="5",BJ153,0)</f>
        <v>0</v>
      </c>
      <c r="AB153" s="45">
        <f>IF(AQ153="1",BH153,0)</f>
        <v>0</v>
      </c>
      <c r="AC153" s="45">
        <f>IF(AQ153="1",BI153,0)</f>
        <v>0</v>
      </c>
      <c r="AD153" s="45">
        <f>IF(AQ153="7",BH153,0)</f>
        <v>0</v>
      </c>
      <c r="AE153" s="45">
        <f>IF(AQ153="7",BI153,0)</f>
        <v>0</v>
      </c>
      <c r="AF153" s="45">
        <f>IF(AQ153="2",BH153,0)</f>
        <v>0</v>
      </c>
      <c r="AG153" s="45">
        <f>IF(AQ153="2",BI153,0)</f>
        <v>0</v>
      </c>
      <c r="AH153" s="45">
        <f>IF(AQ153="0",BJ153,0)</f>
        <v>0</v>
      </c>
      <c r="AI153" s="22" t="s">
        <v>495</v>
      </c>
      <c r="AJ153" s="45">
        <f>IF(AN153=0,J153,0)</f>
        <v>0</v>
      </c>
      <c r="AK153" s="45">
        <f>IF(AN153=12,J153,0)</f>
        <v>0</v>
      </c>
      <c r="AL153" s="45">
        <f>IF(AN153=21,J153,0)</f>
        <v>0</v>
      </c>
      <c r="AN153" s="45">
        <v>21</v>
      </c>
      <c r="AO153" s="45">
        <f>G153*0.333333333333333</f>
        <v>0</v>
      </c>
      <c r="AP153" s="45">
        <f>G153*(1-0.333333333333333)</f>
        <v>0</v>
      </c>
      <c r="AQ153" s="28" t="s">
        <v>694</v>
      </c>
      <c r="AV153" s="45">
        <f>AW153+AX153</f>
        <v>0</v>
      </c>
      <c r="AW153" s="45">
        <f>F153*AO153</f>
        <v>0</v>
      </c>
      <c r="AX153" s="45">
        <f>F153*AP153</f>
        <v>0</v>
      </c>
      <c r="AY153" s="28" t="s">
        <v>338</v>
      </c>
      <c r="AZ153" s="28" t="s">
        <v>29</v>
      </c>
      <c r="BA153" s="22" t="s">
        <v>544</v>
      </c>
      <c r="BC153" s="45">
        <f>AW153+AX153</f>
        <v>0</v>
      </c>
      <c r="BD153" s="45">
        <f>G153/(100-BE153)*100</f>
        <v>0</v>
      </c>
      <c r="BE153" s="45">
        <v>0</v>
      </c>
      <c r="BF153" s="45">
        <f>153</f>
        <v>153</v>
      </c>
      <c r="BH153" s="45">
        <f>F153*AO153</f>
        <v>0</v>
      </c>
      <c r="BI153" s="45">
        <f>F153*AP153</f>
        <v>0</v>
      </c>
      <c r="BJ153" s="45">
        <f>F153*G153</f>
        <v>0</v>
      </c>
      <c r="BK153" s="45"/>
      <c r="BL153" s="45">
        <v>723</v>
      </c>
      <c r="BW153" s="45">
        <v>21</v>
      </c>
    </row>
    <row r="154" spans="1:75" ht="15" customHeight="1">
      <c r="A154" s="49"/>
      <c r="C154" s="12" t="s">
        <v>692</v>
      </c>
      <c r="D154" s="12" t="s">
        <v>495</v>
      </c>
      <c r="F154" s="47">
        <v>1</v>
      </c>
      <c r="K154" s="16"/>
    </row>
    <row r="155" spans="1:75" ht="15" customHeight="1">
      <c r="A155" s="42" t="s">
        <v>495</v>
      </c>
      <c r="B155" s="39" t="s">
        <v>677</v>
      </c>
      <c r="C155" s="79" t="s">
        <v>417</v>
      </c>
      <c r="D155" s="80"/>
      <c r="E155" s="27" t="s">
        <v>653</v>
      </c>
      <c r="F155" s="27" t="s">
        <v>653</v>
      </c>
      <c r="G155" s="27" t="s">
        <v>653</v>
      </c>
      <c r="H155" s="11">
        <f>SUM(H156:H158)</f>
        <v>0</v>
      </c>
      <c r="I155" s="11">
        <f>SUM(I156:I158)</f>
        <v>0</v>
      </c>
      <c r="J155" s="11">
        <f>SUM(J156:J158)</f>
        <v>0</v>
      </c>
      <c r="K155" s="50" t="s">
        <v>495</v>
      </c>
      <c r="AI155" s="22" t="s">
        <v>495</v>
      </c>
      <c r="AS155" s="11">
        <f>SUM(AJ156:AJ158)</f>
        <v>0</v>
      </c>
      <c r="AT155" s="11">
        <f>SUM(AK156:AK158)</f>
        <v>0</v>
      </c>
      <c r="AU155" s="11">
        <f>SUM(AL156:AL158)</f>
        <v>0</v>
      </c>
    </row>
    <row r="156" spans="1:75" ht="13.5" customHeight="1">
      <c r="A156" s="15" t="s">
        <v>301</v>
      </c>
      <c r="B156" s="4" t="s">
        <v>726</v>
      </c>
      <c r="C156" s="66" t="s">
        <v>162</v>
      </c>
      <c r="D156" s="63"/>
      <c r="E156" s="4" t="s">
        <v>236</v>
      </c>
      <c r="F156" s="45">
        <v>2</v>
      </c>
      <c r="G156" s="45">
        <v>0</v>
      </c>
      <c r="H156" s="45">
        <f>F156*AO156</f>
        <v>0</v>
      </c>
      <c r="I156" s="45">
        <f>F156*AP156</f>
        <v>0</v>
      </c>
      <c r="J156" s="45">
        <f>F156*G156</f>
        <v>0</v>
      </c>
      <c r="K156" s="43" t="s">
        <v>319</v>
      </c>
      <c r="Z156" s="45">
        <f>IF(AQ156="5",BJ156,0)</f>
        <v>0</v>
      </c>
      <c r="AB156" s="45">
        <f>IF(AQ156="1",BH156,0)</f>
        <v>0</v>
      </c>
      <c r="AC156" s="45">
        <f>IF(AQ156="1",BI156,0)</f>
        <v>0</v>
      </c>
      <c r="AD156" s="45">
        <f>IF(AQ156="7",BH156,0)</f>
        <v>0</v>
      </c>
      <c r="AE156" s="45">
        <f>IF(AQ156="7",BI156,0)</f>
        <v>0</v>
      </c>
      <c r="AF156" s="45">
        <f>IF(AQ156="2",BH156,0)</f>
        <v>0</v>
      </c>
      <c r="AG156" s="45">
        <f>IF(AQ156="2",BI156,0)</f>
        <v>0</v>
      </c>
      <c r="AH156" s="45">
        <f>IF(AQ156="0",BJ156,0)</f>
        <v>0</v>
      </c>
      <c r="AI156" s="22" t="s">
        <v>495</v>
      </c>
      <c r="AJ156" s="45">
        <f>IF(AN156=0,J156,0)</f>
        <v>0</v>
      </c>
      <c r="AK156" s="45">
        <f>IF(AN156=12,J156,0)</f>
        <v>0</v>
      </c>
      <c r="AL156" s="45">
        <f>IF(AN156=21,J156,0)</f>
        <v>0</v>
      </c>
      <c r="AN156" s="45">
        <v>21</v>
      </c>
      <c r="AO156" s="45">
        <f>G156*0</f>
        <v>0</v>
      </c>
      <c r="AP156" s="45">
        <f>G156*(1-0)</f>
        <v>0</v>
      </c>
      <c r="AQ156" s="28" t="s">
        <v>694</v>
      </c>
      <c r="AV156" s="45">
        <f>AW156+AX156</f>
        <v>0</v>
      </c>
      <c r="AW156" s="45">
        <f>F156*AO156</f>
        <v>0</v>
      </c>
      <c r="AX156" s="45">
        <f>F156*AP156</f>
        <v>0</v>
      </c>
      <c r="AY156" s="28" t="s">
        <v>322</v>
      </c>
      <c r="AZ156" s="28" t="s">
        <v>29</v>
      </c>
      <c r="BA156" s="22" t="s">
        <v>544</v>
      </c>
      <c r="BC156" s="45">
        <f>AW156+AX156</f>
        <v>0</v>
      </c>
      <c r="BD156" s="45">
        <f>G156/(100-BE156)*100</f>
        <v>0</v>
      </c>
      <c r="BE156" s="45">
        <v>0</v>
      </c>
      <c r="BF156" s="45">
        <f>156</f>
        <v>156</v>
      </c>
      <c r="BH156" s="45">
        <f>F156*AO156</f>
        <v>0</v>
      </c>
      <c r="BI156" s="45">
        <f>F156*AP156</f>
        <v>0</v>
      </c>
      <c r="BJ156" s="45">
        <f>F156*G156</f>
        <v>0</v>
      </c>
      <c r="BK156" s="45"/>
      <c r="BL156" s="45">
        <v>725</v>
      </c>
      <c r="BW156" s="45">
        <v>21</v>
      </c>
    </row>
    <row r="157" spans="1:75" ht="15" customHeight="1">
      <c r="A157" s="49"/>
      <c r="C157" s="12" t="s">
        <v>268</v>
      </c>
      <c r="D157" s="12" t="s">
        <v>495</v>
      </c>
      <c r="F157" s="47">
        <v>2</v>
      </c>
      <c r="K157" s="16"/>
    </row>
    <row r="158" spans="1:75" ht="13.5" customHeight="1">
      <c r="A158" s="15" t="s">
        <v>295</v>
      </c>
      <c r="B158" s="4" t="s">
        <v>476</v>
      </c>
      <c r="C158" s="66" t="s">
        <v>84</v>
      </c>
      <c r="D158" s="63"/>
      <c r="E158" s="4" t="s">
        <v>236</v>
      </c>
      <c r="F158" s="45">
        <v>2</v>
      </c>
      <c r="G158" s="45">
        <v>0</v>
      </c>
      <c r="H158" s="45">
        <f>F158*AO158</f>
        <v>0</v>
      </c>
      <c r="I158" s="45">
        <f>F158*AP158</f>
        <v>0</v>
      </c>
      <c r="J158" s="45">
        <f>F158*G158</f>
        <v>0</v>
      </c>
      <c r="K158" s="43" t="s">
        <v>319</v>
      </c>
      <c r="Z158" s="45">
        <f>IF(AQ158="5",BJ158,0)</f>
        <v>0</v>
      </c>
      <c r="AB158" s="45">
        <f>IF(AQ158="1",BH158,0)</f>
        <v>0</v>
      </c>
      <c r="AC158" s="45">
        <f>IF(AQ158="1",BI158,0)</f>
        <v>0</v>
      </c>
      <c r="AD158" s="45">
        <f>IF(AQ158="7",BH158,0)</f>
        <v>0</v>
      </c>
      <c r="AE158" s="45">
        <f>IF(AQ158="7",BI158,0)</f>
        <v>0</v>
      </c>
      <c r="AF158" s="45">
        <f>IF(AQ158="2",BH158,0)</f>
        <v>0</v>
      </c>
      <c r="AG158" s="45">
        <f>IF(AQ158="2",BI158,0)</f>
        <v>0</v>
      </c>
      <c r="AH158" s="45">
        <f>IF(AQ158="0",BJ158,0)</f>
        <v>0</v>
      </c>
      <c r="AI158" s="22" t="s">
        <v>495</v>
      </c>
      <c r="AJ158" s="45">
        <f>IF(AN158=0,J158,0)</f>
        <v>0</v>
      </c>
      <c r="AK158" s="45">
        <f>IF(AN158=12,J158,0)</f>
        <v>0</v>
      </c>
      <c r="AL158" s="45">
        <f>IF(AN158=21,J158,0)</f>
        <v>0</v>
      </c>
      <c r="AN158" s="45">
        <v>21</v>
      </c>
      <c r="AO158" s="45">
        <f>G158*0.235612577040525</f>
        <v>0</v>
      </c>
      <c r="AP158" s="45">
        <f>G158*(1-0.235612577040525)</f>
        <v>0</v>
      </c>
      <c r="AQ158" s="28" t="s">
        <v>694</v>
      </c>
      <c r="AV158" s="45">
        <f>AW158+AX158</f>
        <v>0</v>
      </c>
      <c r="AW158" s="45">
        <f>F158*AO158</f>
        <v>0</v>
      </c>
      <c r="AX158" s="45">
        <f>F158*AP158</f>
        <v>0</v>
      </c>
      <c r="AY158" s="28" t="s">
        <v>322</v>
      </c>
      <c r="AZ158" s="28" t="s">
        <v>29</v>
      </c>
      <c r="BA158" s="22" t="s">
        <v>544</v>
      </c>
      <c r="BC158" s="45">
        <f>AW158+AX158</f>
        <v>0</v>
      </c>
      <c r="BD158" s="45">
        <f>G158/(100-BE158)*100</f>
        <v>0</v>
      </c>
      <c r="BE158" s="45">
        <v>0</v>
      </c>
      <c r="BF158" s="45">
        <f>158</f>
        <v>158</v>
      </c>
      <c r="BH158" s="45">
        <f>F158*AO158</f>
        <v>0</v>
      </c>
      <c r="BI158" s="45">
        <f>F158*AP158</f>
        <v>0</v>
      </c>
      <c r="BJ158" s="45">
        <f>F158*G158</f>
        <v>0</v>
      </c>
      <c r="BK158" s="45"/>
      <c r="BL158" s="45">
        <v>725</v>
      </c>
      <c r="BW158" s="45">
        <v>21</v>
      </c>
    </row>
    <row r="159" spans="1:75" ht="15" customHeight="1">
      <c r="A159" s="49"/>
      <c r="C159" s="12" t="s">
        <v>94</v>
      </c>
      <c r="D159" s="12" t="s">
        <v>495</v>
      </c>
      <c r="F159" s="47">
        <v>2</v>
      </c>
      <c r="K159" s="16"/>
    </row>
    <row r="160" spans="1:75" ht="15" customHeight="1">
      <c r="A160" s="42" t="s">
        <v>495</v>
      </c>
      <c r="B160" s="39" t="s">
        <v>441</v>
      </c>
      <c r="C160" s="79" t="s">
        <v>736</v>
      </c>
      <c r="D160" s="80"/>
      <c r="E160" s="27" t="s">
        <v>653</v>
      </c>
      <c r="F160" s="27" t="s">
        <v>653</v>
      </c>
      <c r="G160" s="27" t="s">
        <v>653</v>
      </c>
      <c r="H160" s="11">
        <f>SUM(H161:H170)</f>
        <v>0</v>
      </c>
      <c r="I160" s="11">
        <f>SUM(I161:I170)</f>
        <v>0</v>
      </c>
      <c r="J160" s="11">
        <f>SUM(J161:J170)</f>
        <v>0</v>
      </c>
      <c r="K160" s="50" t="s">
        <v>495</v>
      </c>
      <c r="AI160" s="22" t="s">
        <v>495</v>
      </c>
      <c r="AS160" s="11">
        <f>SUM(AJ161:AJ170)</f>
        <v>0</v>
      </c>
      <c r="AT160" s="11">
        <f>SUM(AK161:AK170)</f>
        <v>0</v>
      </c>
      <c r="AU160" s="11">
        <f>SUM(AL161:AL170)</f>
        <v>0</v>
      </c>
    </row>
    <row r="161" spans="1:75" ht="13.5" customHeight="1">
      <c r="A161" s="15" t="s">
        <v>337</v>
      </c>
      <c r="B161" s="4" t="s">
        <v>464</v>
      </c>
      <c r="C161" s="66" t="s">
        <v>614</v>
      </c>
      <c r="D161" s="63"/>
      <c r="E161" s="4" t="s">
        <v>686</v>
      </c>
      <c r="F161" s="45">
        <v>32</v>
      </c>
      <c r="G161" s="45">
        <v>0</v>
      </c>
      <c r="H161" s="45">
        <f>F161*AO161</f>
        <v>0</v>
      </c>
      <c r="I161" s="45">
        <f>F161*AP161</f>
        <v>0</v>
      </c>
      <c r="J161" s="45">
        <f>F161*G161</f>
        <v>0</v>
      </c>
      <c r="K161" s="43" t="s">
        <v>319</v>
      </c>
      <c r="Z161" s="45">
        <f>IF(AQ161="5",BJ161,0)</f>
        <v>0</v>
      </c>
      <c r="AB161" s="45">
        <f>IF(AQ161="1",BH161,0)</f>
        <v>0</v>
      </c>
      <c r="AC161" s="45">
        <f>IF(AQ161="1",BI161,0)</f>
        <v>0</v>
      </c>
      <c r="AD161" s="45">
        <f>IF(AQ161="7",BH161,0)</f>
        <v>0</v>
      </c>
      <c r="AE161" s="45">
        <f>IF(AQ161="7",BI161,0)</f>
        <v>0</v>
      </c>
      <c r="AF161" s="45">
        <f>IF(AQ161="2",BH161,0)</f>
        <v>0</v>
      </c>
      <c r="AG161" s="45">
        <f>IF(AQ161="2",BI161,0)</f>
        <v>0</v>
      </c>
      <c r="AH161" s="45">
        <f>IF(AQ161="0",BJ161,0)</f>
        <v>0</v>
      </c>
      <c r="AI161" s="22" t="s">
        <v>495</v>
      </c>
      <c r="AJ161" s="45">
        <f>IF(AN161=0,J161,0)</f>
        <v>0</v>
      </c>
      <c r="AK161" s="45">
        <f>IF(AN161=12,J161,0)</f>
        <v>0</v>
      </c>
      <c r="AL161" s="45">
        <f>IF(AN161=21,J161,0)</f>
        <v>0</v>
      </c>
      <c r="AN161" s="45">
        <v>21</v>
      </c>
      <c r="AO161" s="45">
        <f>G161*0.0841859630227966</f>
        <v>0</v>
      </c>
      <c r="AP161" s="45">
        <f>G161*(1-0.0841859630227966)</f>
        <v>0</v>
      </c>
      <c r="AQ161" s="28" t="s">
        <v>694</v>
      </c>
      <c r="AV161" s="45">
        <f>AW161+AX161</f>
        <v>0</v>
      </c>
      <c r="AW161" s="45">
        <f>F161*AO161</f>
        <v>0</v>
      </c>
      <c r="AX161" s="45">
        <f>F161*AP161</f>
        <v>0</v>
      </c>
      <c r="AY161" s="28" t="s">
        <v>444</v>
      </c>
      <c r="AZ161" s="28" t="s">
        <v>385</v>
      </c>
      <c r="BA161" s="22" t="s">
        <v>544</v>
      </c>
      <c r="BC161" s="45">
        <f>AW161+AX161</f>
        <v>0</v>
      </c>
      <c r="BD161" s="45">
        <f>G161/(100-BE161)*100</f>
        <v>0</v>
      </c>
      <c r="BE161" s="45">
        <v>0</v>
      </c>
      <c r="BF161" s="45">
        <f>161</f>
        <v>161</v>
      </c>
      <c r="BH161" s="45">
        <f>F161*AO161</f>
        <v>0</v>
      </c>
      <c r="BI161" s="45">
        <f>F161*AP161</f>
        <v>0</v>
      </c>
      <c r="BJ161" s="45">
        <f>F161*G161</f>
        <v>0</v>
      </c>
      <c r="BK161" s="45"/>
      <c r="BL161" s="45">
        <v>762</v>
      </c>
      <c r="BW161" s="45">
        <v>21</v>
      </c>
    </row>
    <row r="162" spans="1:75" ht="15" customHeight="1">
      <c r="A162" s="49"/>
      <c r="C162" s="12" t="s">
        <v>86</v>
      </c>
      <c r="D162" s="12" t="s">
        <v>495</v>
      </c>
      <c r="F162" s="47">
        <v>32</v>
      </c>
      <c r="K162" s="16"/>
    </row>
    <row r="163" spans="1:75" ht="13.5" customHeight="1">
      <c r="A163" s="15" t="s">
        <v>651</v>
      </c>
      <c r="B163" s="4" t="s">
        <v>437</v>
      </c>
      <c r="C163" s="66" t="s">
        <v>195</v>
      </c>
      <c r="D163" s="63"/>
      <c r="E163" s="4" t="s">
        <v>686</v>
      </c>
      <c r="F163" s="45">
        <v>1</v>
      </c>
      <c r="G163" s="45">
        <v>0</v>
      </c>
      <c r="H163" s="45">
        <f>F163*AO163</f>
        <v>0</v>
      </c>
      <c r="I163" s="45">
        <f>F163*AP163</f>
        <v>0</v>
      </c>
      <c r="J163" s="45">
        <f>F163*G163</f>
        <v>0</v>
      </c>
      <c r="K163" s="43" t="s">
        <v>319</v>
      </c>
      <c r="Z163" s="45">
        <f>IF(AQ163="5",BJ163,0)</f>
        <v>0</v>
      </c>
      <c r="AB163" s="45">
        <f>IF(AQ163="1",BH163,0)</f>
        <v>0</v>
      </c>
      <c r="AC163" s="45">
        <f>IF(AQ163="1",BI163,0)</f>
        <v>0</v>
      </c>
      <c r="AD163" s="45">
        <f>IF(AQ163="7",BH163,0)</f>
        <v>0</v>
      </c>
      <c r="AE163" s="45">
        <f>IF(AQ163="7",BI163,0)</f>
        <v>0</v>
      </c>
      <c r="AF163" s="45">
        <f>IF(AQ163="2",BH163,0)</f>
        <v>0</v>
      </c>
      <c r="AG163" s="45">
        <f>IF(AQ163="2",BI163,0)</f>
        <v>0</v>
      </c>
      <c r="AH163" s="45">
        <f>IF(AQ163="0",BJ163,0)</f>
        <v>0</v>
      </c>
      <c r="AI163" s="22" t="s">
        <v>495</v>
      </c>
      <c r="AJ163" s="45">
        <f>IF(AN163=0,J163,0)</f>
        <v>0</v>
      </c>
      <c r="AK163" s="45">
        <f>IF(AN163=12,J163,0)</f>
        <v>0</v>
      </c>
      <c r="AL163" s="45">
        <f>IF(AN163=21,J163,0)</f>
        <v>0</v>
      </c>
      <c r="AN163" s="45">
        <v>21</v>
      </c>
      <c r="AO163" s="45">
        <f>G163*0.0752808988764045</f>
        <v>0</v>
      </c>
      <c r="AP163" s="45">
        <f>G163*(1-0.0752808988764045)</f>
        <v>0</v>
      </c>
      <c r="AQ163" s="28" t="s">
        <v>694</v>
      </c>
      <c r="AV163" s="45">
        <f>AW163+AX163</f>
        <v>0</v>
      </c>
      <c r="AW163" s="45">
        <f>F163*AO163</f>
        <v>0</v>
      </c>
      <c r="AX163" s="45">
        <f>F163*AP163</f>
        <v>0</v>
      </c>
      <c r="AY163" s="28" t="s">
        <v>444</v>
      </c>
      <c r="AZ163" s="28" t="s">
        <v>385</v>
      </c>
      <c r="BA163" s="22" t="s">
        <v>544</v>
      </c>
      <c r="BC163" s="45">
        <f>AW163+AX163</f>
        <v>0</v>
      </c>
      <c r="BD163" s="45">
        <f>G163/(100-BE163)*100</f>
        <v>0</v>
      </c>
      <c r="BE163" s="45">
        <v>0</v>
      </c>
      <c r="BF163" s="45">
        <f>163</f>
        <v>163</v>
      </c>
      <c r="BH163" s="45">
        <f>F163*AO163</f>
        <v>0</v>
      </c>
      <c r="BI163" s="45">
        <f>F163*AP163</f>
        <v>0</v>
      </c>
      <c r="BJ163" s="45">
        <f>F163*G163</f>
        <v>0</v>
      </c>
      <c r="BK163" s="45"/>
      <c r="BL163" s="45">
        <v>762</v>
      </c>
      <c r="BW163" s="45">
        <v>21</v>
      </c>
    </row>
    <row r="164" spans="1:75" ht="15" customHeight="1">
      <c r="A164" s="49"/>
      <c r="C164" s="12" t="s">
        <v>257</v>
      </c>
      <c r="D164" s="12" t="s">
        <v>495</v>
      </c>
      <c r="F164" s="47">
        <v>1</v>
      </c>
      <c r="K164" s="16"/>
    </row>
    <row r="165" spans="1:75" ht="13.5" customHeight="1">
      <c r="A165" s="15" t="s">
        <v>473</v>
      </c>
      <c r="B165" s="4" t="s">
        <v>771</v>
      </c>
      <c r="C165" s="66" t="s">
        <v>46</v>
      </c>
      <c r="D165" s="63"/>
      <c r="E165" s="4" t="s">
        <v>686</v>
      </c>
      <c r="F165" s="45">
        <v>20</v>
      </c>
      <c r="G165" s="45">
        <v>0</v>
      </c>
      <c r="H165" s="45">
        <f>F165*AO165</f>
        <v>0</v>
      </c>
      <c r="I165" s="45">
        <f>F165*AP165</f>
        <v>0</v>
      </c>
      <c r="J165" s="45">
        <f>F165*G165</f>
        <v>0</v>
      </c>
      <c r="K165" s="43" t="s">
        <v>319</v>
      </c>
      <c r="Z165" s="45">
        <f>IF(AQ165="5",BJ165,0)</f>
        <v>0</v>
      </c>
      <c r="AB165" s="45">
        <f>IF(AQ165="1",BH165,0)</f>
        <v>0</v>
      </c>
      <c r="AC165" s="45">
        <f>IF(AQ165="1",BI165,0)</f>
        <v>0</v>
      </c>
      <c r="AD165" s="45">
        <f>IF(AQ165="7",BH165,0)</f>
        <v>0</v>
      </c>
      <c r="AE165" s="45">
        <f>IF(AQ165="7",BI165,0)</f>
        <v>0</v>
      </c>
      <c r="AF165" s="45">
        <f>IF(AQ165="2",BH165,0)</f>
        <v>0</v>
      </c>
      <c r="AG165" s="45">
        <f>IF(AQ165="2",BI165,0)</f>
        <v>0</v>
      </c>
      <c r="AH165" s="45">
        <f>IF(AQ165="0",BJ165,0)</f>
        <v>0</v>
      </c>
      <c r="AI165" s="22" t="s">
        <v>495</v>
      </c>
      <c r="AJ165" s="45">
        <f>IF(AN165=0,J165,0)</f>
        <v>0</v>
      </c>
      <c r="AK165" s="45">
        <f>IF(AN165=12,J165,0)</f>
        <v>0</v>
      </c>
      <c r="AL165" s="45">
        <f>IF(AN165=21,J165,0)</f>
        <v>0</v>
      </c>
      <c r="AN165" s="45">
        <v>21</v>
      </c>
      <c r="AO165" s="45">
        <f>G165*0.416630656213346</f>
        <v>0</v>
      </c>
      <c r="AP165" s="45">
        <f>G165*(1-0.416630656213346)</f>
        <v>0</v>
      </c>
      <c r="AQ165" s="28" t="s">
        <v>694</v>
      </c>
      <c r="AV165" s="45">
        <f>AW165+AX165</f>
        <v>0</v>
      </c>
      <c r="AW165" s="45">
        <f>F165*AO165</f>
        <v>0</v>
      </c>
      <c r="AX165" s="45">
        <f>F165*AP165</f>
        <v>0</v>
      </c>
      <c r="AY165" s="28" t="s">
        <v>444</v>
      </c>
      <c r="AZ165" s="28" t="s">
        <v>385</v>
      </c>
      <c r="BA165" s="22" t="s">
        <v>544</v>
      </c>
      <c r="BC165" s="45">
        <f>AW165+AX165</f>
        <v>0</v>
      </c>
      <c r="BD165" s="45">
        <f>G165/(100-BE165)*100</f>
        <v>0</v>
      </c>
      <c r="BE165" s="45">
        <v>0</v>
      </c>
      <c r="BF165" s="45">
        <f>165</f>
        <v>165</v>
      </c>
      <c r="BH165" s="45">
        <f>F165*AO165</f>
        <v>0</v>
      </c>
      <c r="BI165" s="45">
        <f>F165*AP165</f>
        <v>0</v>
      </c>
      <c r="BJ165" s="45">
        <f>F165*G165</f>
        <v>0</v>
      </c>
      <c r="BK165" s="45"/>
      <c r="BL165" s="45">
        <v>762</v>
      </c>
      <c r="BW165" s="45">
        <v>21</v>
      </c>
    </row>
    <row r="166" spans="1:75" ht="15" customHeight="1">
      <c r="A166" s="49"/>
      <c r="C166" s="12" t="s">
        <v>103</v>
      </c>
      <c r="D166" s="12" t="s">
        <v>495</v>
      </c>
      <c r="F166" s="47">
        <v>18.600000000000001</v>
      </c>
      <c r="K166" s="16"/>
    </row>
    <row r="167" spans="1:75" ht="15" customHeight="1">
      <c r="A167" s="49"/>
      <c r="C167" s="12" t="s">
        <v>274</v>
      </c>
      <c r="D167" s="12" t="s">
        <v>495</v>
      </c>
      <c r="F167" s="47">
        <v>1.4000000000000001</v>
      </c>
      <c r="K167" s="16"/>
    </row>
    <row r="168" spans="1:75" ht="13.5" customHeight="1">
      <c r="A168" s="15" t="s">
        <v>449</v>
      </c>
      <c r="B168" s="4" t="s">
        <v>294</v>
      </c>
      <c r="C168" s="66" t="s">
        <v>155</v>
      </c>
      <c r="D168" s="63"/>
      <c r="E168" s="4" t="s">
        <v>686</v>
      </c>
      <c r="F168" s="45">
        <v>20</v>
      </c>
      <c r="G168" s="45">
        <v>0</v>
      </c>
      <c r="H168" s="45">
        <f>F168*AO168</f>
        <v>0</v>
      </c>
      <c r="I168" s="45">
        <f>F168*AP168</f>
        <v>0</v>
      </c>
      <c r="J168" s="45">
        <f>F168*G168</f>
        <v>0</v>
      </c>
      <c r="K168" s="43" t="s">
        <v>319</v>
      </c>
      <c r="Z168" s="45">
        <f>IF(AQ168="5",BJ168,0)</f>
        <v>0</v>
      </c>
      <c r="AB168" s="45">
        <f>IF(AQ168="1",BH168,0)</f>
        <v>0</v>
      </c>
      <c r="AC168" s="45">
        <f>IF(AQ168="1",BI168,0)</f>
        <v>0</v>
      </c>
      <c r="AD168" s="45">
        <f>IF(AQ168="7",BH168,0)</f>
        <v>0</v>
      </c>
      <c r="AE168" s="45">
        <f>IF(AQ168="7",BI168,0)</f>
        <v>0</v>
      </c>
      <c r="AF168" s="45">
        <f>IF(AQ168="2",BH168,0)</f>
        <v>0</v>
      </c>
      <c r="AG168" s="45">
        <f>IF(AQ168="2",BI168,0)</f>
        <v>0</v>
      </c>
      <c r="AH168" s="45">
        <f>IF(AQ168="0",BJ168,0)</f>
        <v>0</v>
      </c>
      <c r="AI168" s="22" t="s">
        <v>495</v>
      </c>
      <c r="AJ168" s="45">
        <f>IF(AN168=0,J168,0)</f>
        <v>0</v>
      </c>
      <c r="AK168" s="45">
        <f>IF(AN168=12,J168,0)</f>
        <v>0</v>
      </c>
      <c r="AL168" s="45">
        <f>IF(AN168=21,J168,0)</f>
        <v>0</v>
      </c>
      <c r="AN168" s="45">
        <v>21</v>
      </c>
      <c r="AO168" s="45">
        <f>G168*0.592956739363604</f>
        <v>0</v>
      </c>
      <c r="AP168" s="45">
        <f>G168*(1-0.592956739363604)</f>
        <v>0</v>
      </c>
      <c r="AQ168" s="28" t="s">
        <v>694</v>
      </c>
      <c r="AV168" s="45">
        <f>AW168+AX168</f>
        <v>0</v>
      </c>
      <c r="AW168" s="45">
        <f>F168*AO168</f>
        <v>0</v>
      </c>
      <c r="AX168" s="45">
        <f>F168*AP168</f>
        <v>0</v>
      </c>
      <c r="AY168" s="28" t="s">
        <v>444</v>
      </c>
      <c r="AZ168" s="28" t="s">
        <v>385</v>
      </c>
      <c r="BA168" s="22" t="s">
        <v>544</v>
      </c>
      <c r="BC168" s="45">
        <f>AW168+AX168</f>
        <v>0</v>
      </c>
      <c r="BD168" s="45">
        <f>G168/(100-BE168)*100</f>
        <v>0</v>
      </c>
      <c r="BE168" s="45">
        <v>0</v>
      </c>
      <c r="BF168" s="45">
        <f>168</f>
        <v>168</v>
      </c>
      <c r="BH168" s="45">
        <f>F168*AO168</f>
        <v>0</v>
      </c>
      <c r="BI168" s="45">
        <f>F168*AP168</f>
        <v>0</v>
      </c>
      <c r="BJ168" s="45">
        <f>F168*G168</f>
        <v>0</v>
      </c>
      <c r="BK168" s="45"/>
      <c r="BL168" s="45">
        <v>762</v>
      </c>
      <c r="BW168" s="45">
        <v>21</v>
      </c>
    </row>
    <row r="169" spans="1:75" ht="15" customHeight="1">
      <c r="A169" s="49"/>
      <c r="C169" s="12" t="s">
        <v>187</v>
      </c>
      <c r="D169" s="12" t="s">
        <v>495</v>
      </c>
      <c r="F169" s="47">
        <v>20</v>
      </c>
      <c r="K169" s="16"/>
    </row>
    <row r="170" spans="1:75" ht="27" customHeight="1">
      <c r="A170" s="15" t="s">
        <v>665</v>
      </c>
      <c r="B170" s="4" t="s">
        <v>753</v>
      </c>
      <c r="C170" s="66" t="s">
        <v>124</v>
      </c>
      <c r="D170" s="63"/>
      <c r="E170" s="4" t="s">
        <v>686</v>
      </c>
      <c r="F170" s="45">
        <v>1</v>
      </c>
      <c r="G170" s="45">
        <v>0</v>
      </c>
      <c r="H170" s="45">
        <f>F170*AO170</f>
        <v>0</v>
      </c>
      <c r="I170" s="45">
        <f>F170*AP170</f>
        <v>0</v>
      </c>
      <c r="J170" s="45">
        <f>F170*G170</f>
        <v>0</v>
      </c>
      <c r="K170" s="43" t="s">
        <v>319</v>
      </c>
      <c r="Z170" s="45">
        <f>IF(AQ170="5",BJ170,0)</f>
        <v>0</v>
      </c>
      <c r="AB170" s="45">
        <f>IF(AQ170="1",BH170,0)</f>
        <v>0</v>
      </c>
      <c r="AC170" s="45">
        <f>IF(AQ170="1",BI170,0)</f>
        <v>0</v>
      </c>
      <c r="AD170" s="45">
        <f>IF(AQ170="7",BH170,0)</f>
        <v>0</v>
      </c>
      <c r="AE170" s="45">
        <f>IF(AQ170="7",BI170,0)</f>
        <v>0</v>
      </c>
      <c r="AF170" s="45">
        <f>IF(AQ170="2",BH170,0)</f>
        <v>0</v>
      </c>
      <c r="AG170" s="45">
        <f>IF(AQ170="2",BI170,0)</f>
        <v>0</v>
      </c>
      <c r="AH170" s="45">
        <f>IF(AQ170="0",BJ170,0)</f>
        <v>0</v>
      </c>
      <c r="AI170" s="22" t="s">
        <v>495</v>
      </c>
      <c r="AJ170" s="45">
        <f>IF(AN170=0,J170,0)</f>
        <v>0</v>
      </c>
      <c r="AK170" s="45">
        <f>IF(AN170=12,J170,0)</f>
        <v>0</v>
      </c>
      <c r="AL170" s="45">
        <f>IF(AN170=21,J170,0)</f>
        <v>0</v>
      </c>
      <c r="AN170" s="45">
        <v>21</v>
      </c>
      <c r="AO170" s="45">
        <f>G170*0.438037825059102</f>
        <v>0</v>
      </c>
      <c r="AP170" s="45">
        <f>G170*(1-0.438037825059102)</f>
        <v>0</v>
      </c>
      <c r="AQ170" s="28" t="s">
        <v>694</v>
      </c>
      <c r="AV170" s="45">
        <f>AW170+AX170</f>
        <v>0</v>
      </c>
      <c r="AW170" s="45">
        <f>F170*AO170</f>
        <v>0</v>
      </c>
      <c r="AX170" s="45">
        <f>F170*AP170</f>
        <v>0</v>
      </c>
      <c r="AY170" s="28" t="s">
        <v>444</v>
      </c>
      <c r="AZ170" s="28" t="s">
        <v>385</v>
      </c>
      <c r="BA170" s="22" t="s">
        <v>544</v>
      </c>
      <c r="BC170" s="45">
        <f>AW170+AX170</f>
        <v>0</v>
      </c>
      <c r="BD170" s="45">
        <f>G170/(100-BE170)*100</f>
        <v>0</v>
      </c>
      <c r="BE170" s="45">
        <v>0</v>
      </c>
      <c r="BF170" s="45">
        <f>170</f>
        <v>170</v>
      </c>
      <c r="BH170" s="45">
        <f>F170*AO170</f>
        <v>0</v>
      </c>
      <c r="BI170" s="45">
        <f>F170*AP170</f>
        <v>0</v>
      </c>
      <c r="BJ170" s="45">
        <f>F170*G170</f>
        <v>0</v>
      </c>
      <c r="BK170" s="45"/>
      <c r="BL170" s="45">
        <v>762</v>
      </c>
      <c r="BW170" s="45">
        <v>21</v>
      </c>
    </row>
    <row r="171" spans="1:75" ht="15" customHeight="1">
      <c r="A171" s="49"/>
      <c r="C171" s="12" t="s">
        <v>269</v>
      </c>
      <c r="D171" s="12" t="s">
        <v>495</v>
      </c>
      <c r="F171" s="47">
        <v>1</v>
      </c>
      <c r="K171" s="16"/>
    </row>
    <row r="172" spans="1:75" ht="15" customHeight="1">
      <c r="A172" s="42" t="s">
        <v>495</v>
      </c>
      <c r="B172" s="39" t="s">
        <v>38</v>
      </c>
      <c r="C172" s="79" t="s">
        <v>90</v>
      </c>
      <c r="D172" s="80"/>
      <c r="E172" s="27" t="s">
        <v>653</v>
      </c>
      <c r="F172" s="27" t="s">
        <v>653</v>
      </c>
      <c r="G172" s="27" t="s">
        <v>653</v>
      </c>
      <c r="H172" s="11">
        <f>SUM(H173:H223)</f>
        <v>0</v>
      </c>
      <c r="I172" s="11">
        <f>SUM(I173:I223)</f>
        <v>0</v>
      </c>
      <c r="J172" s="11">
        <f>SUM(J173:J223)</f>
        <v>0</v>
      </c>
      <c r="K172" s="50" t="s">
        <v>495</v>
      </c>
      <c r="AI172" s="22" t="s">
        <v>495</v>
      </c>
      <c r="AS172" s="11">
        <f>SUM(AJ173:AJ223)</f>
        <v>0</v>
      </c>
      <c r="AT172" s="11">
        <f>SUM(AK173:AK223)</f>
        <v>0</v>
      </c>
      <c r="AU172" s="11">
        <f>SUM(AL173:AL223)</f>
        <v>0</v>
      </c>
    </row>
    <row r="173" spans="1:75" ht="13.5" customHeight="1">
      <c r="A173" s="15" t="s">
        <v>409</v>
      </c>
      <c r="B173" s="4" t="s">
        <v>362</v>
      </c>
      <c r="C173" s="66" t="s">
        <v>359</v>
      </c>
      <c r="D173" s="63"/>
      <c r="E173" s="4" t="s">
        <v>584</v>
      </c>
      <c r="F173" s="45">
        <v>19.5</v>
      </c>
      <c r="G173" s="45">
        <v>0</v>
      </c>
      <c r="H173" s="45">
        <f>F173*AO173</f>
        <v>0</v>
      </c>
      <c r="I173" s="45">
        <f>F173*AP173</f>
        <v>0</v>
      </c>
      <c r="J173" s="45">
        <f>F173*G173</f>
        <v>0</v>
      </c>
      <c r="K173" s="43" t="s">
        <v>319</v>
      </c>
      <c r="Z173" s="45">
        <f>IF(AQ173="5",BJ173,0)</f>
        <v>0</v>
      </c>
      <c r="AB173" s="45">
        <f>IF(AQ173="1",BH173,0)</f>
        <v>0</v>
      </c>
      <c r="AC173" s="45">
        <f>IF(AQ173="1",BI173,0)</f>
        <v>0</v>
      </c>
      <c r="AD173" s="45">
        <f>IF(AQ173="7",BH173,0)</f>
        <v>0</v>
      </c>
      <c r="AE173" s="45">
        <f>IF(AQ173="7",BI173,0)</f>
        <v>0</v>
      </c>
      <c r="AF173" s="45">
        <f>IF(AQ173="2",BH173,0)</f>
        <v>0</v>
      </c>
      <c r="AG173" s="45">
        <f>IF(AQ173="2",BI173,0)</f>
        <v>0</v>
      </c>
      <c r="AH173" s="45">
        <f>IF(AQ173="0",BJ173,0)</f>
        <v>0</v>
      </c>
      <c r="AI173" s="22" t="s">
        <v>495</v>
      </c>
      <c r="AJ173" s="45">
        <f>IF(AN173=0,J173,0)</f>
        <v>0</v>
      </c>
      <c r="AK173" s="45">
        <f>IF(AN173=12,J173,0)</f>
        <v>0</v>
      </c>
      <c r="AL173" s="45">
        <f>IF(AN173=21,J173,0)</f>
        <v>0</v>
      </c>
      <c r="AN173" s="45">
        <v>21</v>
      </c>
      <c r="AO173" s="45">
        <f>G173*0</f>
        <v>0</v>
      </c>
      <c r="AP173" s="45">
        <f>G173*(1-0)</f>
        <v>0</v>
      </c>
      <c r="AQ173" s="28" t="s">
        <v>694</v>
      </c>
      <c r="AV173" s="45">
        <f>AW173+AX173</f>
        <v>0</v>
      </c>
      <c r="AW173" s="45">
        <f>F173*AO173</f>
        <v>0</v>
      </c>
      <c r="AX173" s="45">
        <f>F173*AP173</f>
        <v>0</v>
      </c>
      <c r="AY173" s="28" t="s">
        <v>571</v>
      </c>
      <c r="AZ173" s="28" t="s">
        <v>385</v>
      </c>
      <c r="BA173" s="22" t="s">
        <v>544</v>
      </c>
      <c r="BC173" s="45">
        <f>AW173+AX173</f>
        <v>0</v>
      </c>
      <c r="BD173" s="45">
        <f>G173/(100-BE173)*100</f>
        <v>0</v>
      </c>
      <c r="BE173" s="45">
        <v>0</v>
      </c>
      <c r="BF173" s="45">
        <f>173</f>
        <v>173</v>
      </c>
      <c r="BH173" s="45">
        <f>F173*AO173</f>
        <v>0</v>
      </c>
      <c r="BI173" s="45">
        <f>F173*AP173</f>
        <v>0</v>
      </c>
      <c r="BJ173" s="45">
        <f>F173*G173</f>
        <v>0</v>
      </c>
      <c r="BK173" s="45"/>
      <c r="BL173" s="45">
        <v>764</v>
      </c>
      <c r="BW173" s="45">
        <v>21</v>
      </c>
    </row>
    <row r="174" spans="1:75" ht="15" customHeight="1">
      <c r="A174" s="49"/>
      <c r="C174" s="12" t="s">
        <v>244</v>
      </c>
      <c r="D174" s="12" t="s">
        <v>495</v>
      </c>
      <c r="F174" s="47">
        <v>18</v>
      </c>
      <c r="K174" s="16"/>
    </row>
    <row r="175" spans="1:75" ht="15" customHeight="1">
      <c r="A175" s="49"/>
      <c r="C175" s="12" t="s">
        <v>735</v>
      </c>
      <c r="D175" s="12" t="s">
        <v>495</v>
      </c>
      <c r="F175" s="47">
        <v>0.9</v>
      </c>
      <c r="K175" s="16"/>
    </row>
    <row r="176" spans="1:75" ht="15" customHeight="1">
      <c r="A176" s="49"/>
      <c r="C176" s="12" t="s">
        <v>731</v>
      </c>
      <c r="D176" s="12" t="s">
        <v>495</v>
      </c>
      <c r="F176" s="47">
        <v>0.60000000000000009</v>
      </c>
      <c r="K176" s="16"/>
    </row>
    <row r="177" spans="1:75" ht="13.5" customHeight="1">
      <c r="A177" s="15" t="s">
        <v>327</v>
      </c>
      <c r="B177" s="4" t="s">
        <v>777</v>
      </c>
      <c r="C177" s="66" t="s">
        <v>535</v>
      </c>
      <c r="D177" s="63"/>
      <c r="E177" s="4" t="s">
        <v>584</v>
      </c>
      <c r="F177" s="45">
        <v>16.5</v>
      </c>
      <c r="G177" s="45">
        <v>0</v>
      </c>
      <c r="H177" s="45">
        <f>F177*AO177</f>
        <v>0</v>
      </c>
      <c r="I177" s="45">
        <f>F177*AP177</f>
        <v>0</v>
      </c>
      <c r="J177" s="45">
        <f>F177*G177</f>
        <v>0</v>
      </c>
      <c r="K177" s="43" t="s">
        <v>319</v>
      </c>
      <c r="Z177" s="45">
        <f>IF(AQ177="5",BJ177,0)</f>
        <v>0</v>
      </c>
      <c r="AB177" s="45">
        <f>IF(AQ177="1",BH177,0)</f>
        <v>0</v>
      </c>
      <c r="AC177" s="45">
        <f>IF(AQ177="1",BI177,0)</f>
        <v>0</v>
      </c>
      <c r="AD177" s="45">
        <f>IF(AQ177="7",BH177,0)</f>
        <v>0</v>
      </c>
      <c r="AE177" s="45">
        <f>IF(AQ177="7",BI177,0)</f>
        <v>0</v>
      </c>
      <c r="AF177" s="45">
        <f>IF(AQ177="2",BH177,0)</f>
        <v>0</v>
      </c>
      <c r="AG177" s="45">
        <f>IF(AQ177="2",BI177,0)</f>
        <v>0</v>
      </c>
      <c r="AH177" s="45">
        <f>IF(AQ177="0",BJ177,0)</f>
        <v>0</v>
      </c>
      <c r="AI177" s="22" t="s">
        <v>495</v>
      </c>
      <c r="AJ177" s="45">
        <f>IF(AN177=0,J177,0)</f>
        <v>0</v>
      </c>
      <c r="AK177" s="45">
        <f>IF(AN177=12,J177,0)</f>
        <v>0</v>
      </c>
      <c r="AL177" s="45">
        <f>IF(AN177=21,J177,0)</f>
        <v>0</v>
      </c>
      <c r="AN177" s="45">
        <v>21</v>
      </c>
      <c r="AO177" s="45">
        <f>G177*0</f>
        <v>0</v>
      </c>
      <c r="AP177" s="45">
        <f>G177*(1-0)</f>
        <v>0</v>
      </c>
      <c r="AQ177" s="28" t="s">
        <v>694</v>
      </c>
      <c r="AV177" s="45">
        <f>AW177+AX177</f>
        <v>0</v>
      </c>
      <c r="AW177" s="45">
        <f>F177*AO177</f>
        <v>0</v>
      </c>
      <c r="AX177" s="45">
        <f>F177*AP177</f>
        <v>0</v>
      </c>
      <c r="AY177" s="28" t="s">
        <v>571</v>
      </c>
      <c r="AZ177" s="28" t="s">
        <v>385</v>
      </c>
      <c r="BA177" s="22" t="s">
        <v>544</v>
      </c>
      <c r="BC177" s="45">
        <f>AW177+AX177</f>
        <v>0</v>
      </c>
      <c r="BD177" s="45">
        <f>G177/(100-BE177)*100</f>
        <v>0</v>
      </c>
      <c r="BE177" s="45">
        <v>0</v>
      </c>
      <c r="BF177" s="45">
        <f>177</f>
        <v>177</v>
      </c>
      <c r="BH177" s="45">
        <f>F177*AO177</f>
        <v>0</v>
      </c>
      <c r="BI177" s="45">
        <f>F177*AP177</f>
        <v>0</v>
      </c>
      <c r="BJ177" s="45">
        <f>F177*G177</f>
        <v>0</v>
      </c>
      <c r="BK177" s="45"/>
      <c r="BL177" s="45">
        <v>764</v>
      </c>
      <c r="BW177" s="45">
        <v>21</v>
      </c>
    </row>
    <row r="178" spans="1:75" ht="15" customHeight="1">
      <c r="A178" s="49"/>
      <c r="C178" s="12" t="s">
        <v>138</v>
      </c>
      <c r="D178" s="12" t="s">
        <v>495</v>
      </c>
      <c r="F178" s="47">
        <v>12.000000000000002</v>
      </c>
      <c r="K178" s="16"/>
    </row>
    <row r="179" spans="1:75" ht="15" customHeight="1">
      <c r="A179" s="49"/>
      <c r="C179" s="12" t="s">
        <v>224</v>
      </c>
      <c r="D179" s="12" t="s">
        <v>495</v>
      </c>
      <c r="F179" s="47">
        <v>4.5</v>
      </c>
      <c r="K179" s="16"/>
    </row>
    <row r="180" spans="1:75" ht="13.5" customHeight="1">
      <c r="A180" s="15" t="s">
        <v>73</v>
      </c>
      <c r="B180" s="4" t="s">
        <v>251</v>
      </c>
      <c r="C180" s="66" t="s">
        <v>488</v>
      </c>
      <c r="D180" s="63"/>
      <c r="E180" s="4" t="s">
        <v>168</v>
      </c>
      <c r="F180" s="45">
        <v>9</v>
      </c>
      <c r="G180" s="45">
        <v>0</v>
      </c>
      <c r="H180" s="45">
        <f>F180*AO180</f>
        <v>0</v>
      </c>
      <c r="I180" s="45">
        <f>F180*AP180</f>
        <v>0</v>
      </c>
      <c r="J180" s="45">
        <f>F180*G180</f>
        <v>0</v>
      </c>
      <c r="K180" s="43" t="s">
        <v>319</v>
      </c>
      <c r="Z180" s="45">
        <f>IF(AQ180="5",BJ180,0)</f>
        <v>0</v>
      </c>
      <c r="AB180" s="45">
        <f>IF(AQ180="1",BH180,0)</f>
        <v>0</v>
      </c>
      <c r="AC180" s="45">
        <f>IF(AQ180="1",BI180,0)</f>
        <v>0</v>
      </c>
      <c r="AD180" s="45">
        <f>IF(AQ180="7",BH180,0)</f>
        <v>0</v>
      </c>
      <c r="AE180" s="45">
        <f>IF(AQ180="7",BI180,0)</f>
        <v>0</v>
      </c>
      <c r="AF180" s="45">
        <f>IF(AQ180="2",BH180,0)</f>
        <v>0</v>
      </c>
      <c r="AG180" s="45">
        <f>IF(AQ180="2",BI180,0)</f>
        <v>0</v>
      </c>
      <c r="AH180" s="45">
        <f>IF(AQ180="0",BJ180,0)</f>
        <v>0</v>
      </c>
      <c r="AI180" s="22" t="s">
        <v>495</v>
      </c>
      <c r="AJ180" s="45">
        <f>IF(AN180=0,J180,0)</f>
        <v>0</v>
      </c>
      <c r="AK180" s="45">
        <f>IF(AN180=12,J180,0)</f>
        <v>0</v>
      </c>
      <c r="AL180" s="45">
        <f>IF(AN180=21,J180,0)</f>
        <v>0</v>
      </c>
      <c r="AN180" s="45">
        <v>21</v>
      </c>
      <c r="AO180" s="45">
        <f>G180*0.214985590778098</f>
        <v>0</v>
      </c>
      <c r="AP180" s="45">
        <f>G180*(1-0.214985590778098)</f>
        <v>0</v>
      </c>
      <c r="AQ180" s="28" t="s">
        <v>694</v>
      </c>
      <c r="AV180" s="45">
        <f>AW180+AX180</f>
        <v>0</v>
      </c>
      <c r="AW180" s="45">
        <f>F180*AO180</f>
        <v>0</v>
      </c>
      <c r="AX180" s="45">
        <f>F180*AP180</f>
        <v>0</v>
      </c>
      <c r="AY180" s="28" t="s">
        <v>571</v>
      </c>
      <c r="AZ180" s="28" t="s">
        <v>385</v>
      </c>
      <c r="BA180" s="22" t="s">
        <v>544</v>
      </c>
      <c r="BC180" s="45">
        <f>AW180+AX180</f>
        <v>0</v>
      </c>
      <c r="BD180" s="45">
        <f>G180/(100-BE180)*100</f>
        <v>0</v>
      </c>
      <c r="BE180" s="45">
        <v>0</v>
      </c>
      <c r="BF180" s="45">
        <f>180</f>
        <v>180</v>
      </c>
      <c r="BH180" s="45">
        <f>F180*AO180</f>
        <v>0</v>
      </c>
      <c r="BI180" s="45">
        <f>F180*AP180</f>
        <v>0</v>
      </c>
      <c r="BJ180" s="45">
        <f>F180*G180</f>
        <v>0</v>
      </c>
      <c r="BK180" s="45"/>
      <c r="BL180" s="45">
        <v>764</v>
      </c>
      <c r="BW180" s="45">
        <v>21</v>
      </c>
    </row>
    <row r="181" spans="1:75" ht="15" customHeight="1">
      <c r="A181" s="49"/>
      <c r="C181" s="12" t="s">
        <v>177</v>
      </c>
      <c r="D181" s="12" t="s">
        <v>495</v>
      </c>
      <c r="F181" s="47">
        <v>7.0000000000000009</v>
      </c>
      <c r="K181" s="16"/>
    </row>
    <row r="182" spans="1:75" ht="15" customHeight="1">
      <c r="A182" s="49"/>
      <c r="C182" s="12" t="s">
        <v>181</v>
      </c>
      <c r="D182" s="12" t="s">
        <v>495</v>
      </c>
      <c r="F182" s="47">
        <v>2</v>
      </c>
      <c r="K182" s="16"/>
    </row>
    <row r="183" spans="1:75" ht="13.5" customHeight="1">
      <c r="A183" s="15" t="s">
        <v>513</v>
      </c>
      <c r="B183" s="4" t="s">
        <v>413</v>
      </c>
      <c r="C183" s="66" t="s">
        <v>277</v>
      </c>
      <c r="D183" s="63"/>
      <c r="E183" s="4" t="s">
        <v>168</v>
      </c>
      <c r="F183" s="45">
        <v>5</v>
      </c>
      <c r="G183" s="45">
        <v>0</v>
      </c>
      <c r="H183" s="45">
        <f>F183*AO183</f>
        <v>0</v>
      </c>
      <c r="I183" s="45">
        <f>F183*AP183</f>
        <v>0</v>
      </c>
      <c r="J183" s="45">
        <f>F183*G183</f>
        <v>0</v>
      </c>
      <c r="K183" s="43" t="s">
        <v>319</v>
      </c>
      <c r="Z183" s="45">
        <f>IF(AQ183="5",BJ183,0)</f>
        <v>0</v>
      </c>
      <c r="AB183" s="45">
        <f>IF(AQ183="1",BH183,0)</f>
        <v>0</v>
      </c>
      <c r="AC183" s="45">
        <f>IF(AQ183="1",BI183,0)</f>
        <v>0</v>
      </c>
      <c r="AD183" s="45">
        <f>IF(AQ183="7",BH183,0)</f>
        <v>0</v>
      </c>
      <c r="AE183" s="45">
        <f>IF(AQ183="7",BI183,0)</f>
        <v>0</v>
      </c>
      <c r="AF183" s="45">
        <f>IF(AQ183="2",BH183,0)</f>
        <v>0</v>
      </c>
      <c r="AG183" s="45">
        <f>IF(AQ183="2",BI183,0)</f>
        <v>0</v>
      </c>
      <c r="AH183" s="45">
        <f>IF(AQ183="0",BJ183,0)</f>
        <v>0</v>
      </c>
      <c r="AI183" s="22" t="s">
        <v>495</v>
      </c>
      <c r="AJ183" s="45">
        <f>IF(AN183=0,J183,0)</f>
        <v>0</v>
      </c>
      <c r="AK183" s="45">
        <f>IF(AN183=12,J183,0)</f>
        <v>0</v>
      </c>
      <c r="AL183" s="45">
        <f>IF(AN183=21,J183,0)</f>
        <v>0</v>
      </c>
      <c r="AN183" s="45">
        <v>21</v>
      </c>
      <c r="AO183" s="45">
        <f>G183*0</f>
        <v>0</v>
      </c>
      <c r="AP183" s="45">
        <f>G183*(1-0)</f>
        <v>0</v>
      </c>
      <c r="AQ183" s="28" t="s">
        <v>694</v>
      </c>
      <c r="AV183" s="45">
        <f>AW183+AX183</f>
        <v>0</v>
      </c>
      <c r="AW183" s="45">
        <f>F183*AO183</f>
        <v>0</v>
      </c>
      <c r="AX183" s="45">
        <f>F183*AP183</f>
        <v>0</v>
      </c>
      <c r="AY183" s="28" t="s">
        <v>571</v>
      </c>
      <c r="AZ183" s="28" t="s">
        <v>385</v>
      </c>
      <c r="BA183" s="22" t="s">
        <v>544</v>
      </c>
      <c r="BC183" s="45">
        <f>AW183+AX183</f>
        <v>0</v>
      </c>
      <c r="BD183" s="45">
        <f>G183/(100-BE183)*100</f>
        <v>0</v>
      </c>
      <c r="BE183" s="45">
        <v>0</v>
      </c>
      <c r="BF183" s="45">
        <f>183</f>
        <v>183</v>
      </c>
      <c r="BH183" s="45">
        <f>F183*AO183</f>
        <v>0</v>
      </c>
      <c r="BI183" s="45">
        <f>F183*AP183</f>
        <v>0</v>
      </c>
      <c r="BJ183" s="45">
        <f>F183*G183</f>
        <v>0</v>
      </c>
      <c r="BK183" s="45"/>
      <c r="BL183" s="45">
        <v>764</v>
      </c>
      <c r="BW183" s="45">
        <v>21</v>
      </c>
    </row>
    <row r="184" spans="1:75" ht="15" customHeight="1">
      <c r="A184" s="49"/>
      <c r="C184" s="12" t="s">
        <v>568</v>
      </c>
      <c r="D184" s="12" t="s">
        <v>495</v>
      </c>
      <c r="F184" s="47">
        <v>3.0000000000000004</v>
      </c>
      <c r="K184" s="16"/>
    </row>
    <row r="185" spans="1:75" ht="15" customHeight="1">
      <c r="A185" s="49"/>
      <c r="C185" s="12" t="s">
        <v>181</v>
      </c>
      <c r="D185" s="12" t="s">
        <v>495</v>
      </c>
      <c r="F185" s="47">
        <v>2</v>
      </c>
      <c r="K185" s="16"/>
    </row>
    <row r="186" spans="1:75" ht="13.5" customHeight="1">
      <c r="A186" s="15" t="s">
        <v>764</v>
      </c>
      <c r="B186" s="4" t="s">
        <v>452</v>
      </c>
      <c r="C186" s="66" t="s">
        <v>521</v>
      </c>
      <c r="D186" s="63"/>
      <c r="E186" s="4" t="s">
        <v>584</v>
      </c>
      <c r="F186" s="45">
        <v>68</v>
      </c>
      <c r="G186" s="45">
        <v>0</v>
      </c>
      <c r="H186" s="45">
        <f>F186*AO186</f>
        <v>0</v>
      </c>
      <c r="I186" s="45">
        <f>F186*AP186</f>
        <v>0</v>
      </c>
      <c r="J186" s="45">
        <f>F186*G186</f>
        <v>0</v>
      </c>
      <c r="K186" s="43" t="s">
        <v>319</v>
      </c>
      <c r="Z186" s="45">
        <f>IF(AQ186="5",BJ186,0)</f>
        <v>0</v>
      </c>
      <c r="AB186" s="45">
        <f>IF(AQ186="1",BH186,0)</f>
        <v>0</v>
      </c>
      <c r="AC186" s="45">
        <f>IF(AQ186="1",BI186,0)</f>
        <v>0</v>
      </c>
      <c r="AD186" s="45">
        <f>IF(AQ186="7",BH186,0)</f>
        <v>0</v>
      </c>
      <c r="AE186" s="45">
        <f>IF(AQ186="7",BI186,0)</f>
        <v>0</v>
      </c>
      <c r="AF186" s="45">
        <f>IF(AQ186="2",BH186,0)</f>
        <v>0</v>
      </c>
      <c r="AG186" s="45">
        <f>IF(AQ186="2",BI186,0)</f>
        <v>0</v>
      </c>
      <c r="AH186" s="45">
        <f>IF(AQ186="0",BJ186,0)</f>
        <v>0</v>
      </c>
      <c r="AI186" s="22" t="s">
        <v>495</v>
      </c>
      <c r="AJ186" s="45">
        <f>IF(AN186=0,J186,0)</f>
        <v>0</v>
      </c>
      <c r="AK186" s="45">
        <f>IF(AN186=12,J186,0)</f>
        <v>0</v>
      </c>
      <c r="AL186" s="45">
        <f>IF(AN186=21,J186,0)</f>
        <v>0</v>
      </c>
      <c r="AN186" s="45">
        <v>21</v>
      </c>
      <c r="AO186" s="45">
        <f>G186*0</f>
        <v>0</v>
      </c>
      <c r="AP186" s="45">
        <f>G186*(1-0)</f>
        <v>0</v>
      </c>
      <c r="AQ186" s="28" t="s">
        <v>694</v>
      </c>
      <c r="AV186" s="45">
        <f>AW186+AX186</f>
        <v>0</v>
      </c>
      <c r="AW186" s="45">
        <f>F186*AO186</f>
        <v>0</v>
      </c>
      <c r="AX186" s="45">
        <f>F186*AP186</f>
        <v>0</v>
      </c>
      <c r="AY186" s="28" t="s">
        <v>571</v>
      </c>
      <c r="AZ186" s="28" t="s">
        <v>385</v>
      </c>
      <c r="BA186" s="22" t="s">
        <v>544</v>
      </c>
      <c r="BC186" s="45">
        <f>AW186+AX186</f>
        <v>0</v>
      </c>
      <c r="BD186" s="45">
        <f>G186/(100-BE186)*100</f>
        <v>0</v>
      </c>
      <c r="BE186" s="45">
        <v>0</v>
      </c>
      <c r="BF186" s="45">
        <f>186</f>
        <v>186</v>
      </c>
      <c r="BH186" s="45">
        <f>F186*AO186</f>
        <v>0</v>
      </c>
      <c r="BI186" s="45">
        <f>F186*AP186</f>
        <v>0</v>
      </c>
      <c r="BJ186" s="45">
        <f>F186*G186</f>
        <v>0</v>
      </c>
      <c r="BK186" s="45"/>
      <c r="BL186" s="45">
        <v>764</v>
      </c>
      <c r="BW186" s="45">
        <v>21</v>
      </c>
    </row>
    <row r="187" spans="1:75" ht="15" customHeight="1">
      <c r="A187" s="49"/>
      <c r="C187" s="12" t="s">
        <v>240</v>
      </c>
      <c r="D187" s="12" t="s">
        <v>495</v>
      </c>
      <c r="F187" s="47">
        <v>65</v>
      </c>
      <c r="K187" s="16"/>
    </row>
    <row r="188" spans="1:75" ht="15" customHeight="1">
      <c r="A188" s="49"/>
      <c r="C188" s="12" t="s">
        <v>511</v>
      </c>
      <c r="D188" s="12" t="s">
        <v>495</v>
      </c>
      <c r="F188" s="47">
        <v>3.0000000000000004</v>
      </c>
      <c r="K188" s="16"/>
    </row>
    <row r="189" spans="1:75" ht="13.5" customHeight="1">
      <c r="A189" s="15" t="s">
        <v>160</v>
      </c>
      <c r="B189" s="4" t="s">
        <v>602</v>
      </c>
      <c r="C189" s="66" t="s">
        <v>658</v>
      </c>
      <c r="D189" s="63"/>
      <c r="E189" s="4" t="s">
        <v>168</v>
      </c>
      <c r="F189" s="45">
        <v>68</v>
      </c>
      <c r="G189" s="45">
        <v>0</v>
      </c>
      <c r="H189" s="45">
        <f>F189*AO189</f>
        <v>0</v>
      </c>
      <c r="I189" s="45">
        <f>F189*AP189</f>
        <v>0</v>
      </c>
      <c r="J189" s="45">
        <f>F189*G189</f>
        <v>0</v>
      </c>
      <c r="K189" s="43" t="s">
        <v>319</v>
      </c>
      <c r="Z189" s="45">
        <f>IF(AQ189="5",BJ189,0)</f>
        <v>0</v>
      </c>
      <c r="AB189" s="45">
        <f>IF(AQ189="1",BH189,0)</f>
        <v>0</v>
      </c>
      <c r="AC189" s="45">
        <f>IF(AQ189="1",BI189,0)</f>
        <v>0</v>
      </c>
      <c r="AD189" s="45">
        <f>IF(AQ189="7",BH189,0)</f>
        <v>0</v>
      </c>
      <c r="AE189" s="45">
        <f>IF(AQ189="7",BI189,0)</f>
        <v>0</v>
      </c>
      <c r="AF189" s="45">
        <f>IF(AQ189="2",BH189,0)</f>
        <v>0</v>
      </c>
      <c r="AG189" s="45">
        <f>IF(AQ189="2",BI189,0)</f>
        <v>0</v>
      </c>
      <c r="AH189" s="45">
        <f>IF(AQ189="0",BJ189,0)</f>
        <v>0</v>
      </c>
      <c r="AI189" s="22" t="s">
        <v>495</v>
      </c>
      <c r="AJ189" s="45">
        <f>IF(AN189=0,J189,0)</f>
        <v>0</v>
      </c>
      <c r="AK189" s="45">
        <f>IF(AN189=12,J189,0)</f>
        <v>0</v>
      </c>
      <c r="AL189" s="45">
        <f>IF(AN189=21,J189,0)</f>
        <v>0</v>
      </c>
      <c r="AN189" s="45">
        <v>21</v>
      </c>
      <c r="AO189" s="45">
        <f>G189*0</f>
        <v>0</v>
      </c>
      <c r="AP189" s="45">
        <f>G189*(1-0)</f>
        <v>0</v>
      </c>
      <c r="AQ189" s="28" t="s">
        <v>694</v>
      </c>
      <c r="AV189" s="45">
        <f>AW189+AX189</f>
        <v>0</v>
      </c>
      <c r="AW189" s="45">
        <f>F189*AO189</f>
        <v>0</v>
      </c>
      <c r="AX189" s="45">
        <f>F189*AP189</f>
        <v>0</v>
      </c>
      <c r="AY189" s="28" t="s">
        <v>571</v>
      </c>
      <c r="AZ189" s="28" t="s">
        <v>385</v>
      </c>
      <c r="BA189" s="22" t="s">
        <v>544</v>
      </c>
      <c r="BC189" s="45">
        <f>AW189+AX189</f>
        <v>0</v>
      </c>
      <c r="BD189" s="45">
        <f>G189/(100-BE189)*100</f>
        <v>0</v>
      </c>
      <c r="BE189" s="45">
        <v>0</v>
      </c>
      <c r="BF189" s="45">
        <f>189</f>
        <v>189</v>
      </c>
      <c r="BH189" s="45">
        <f>F189*AO189</f>
        <v>0</v>
      </c>
      <c r="BI189" s="45">
        <f>F189*AP189</f>
        <v>0</v>
      </c>
      <c r="BJ189" s="45">
        <f>F189*G189</f>
        <v>0</v>
      </c>
      <c r="BK189" s="45"/>
      <c r="BL189" s="45">
        <v>764</v>
      </c>
      <c r="BW189" s="45">
        <v>21</v>
      </c>
    </row>
    <row r="190" spans="1:75" ht="15" customHeight="1">
      <c r="A190" s="49"/>
      <c r="C190" s="12" t="s">
        <v>240</v>
      </c>
      <c r="D190" s="12" t="s">
        <v>495</v>
      </c>
      <c r="F190" s="47">
        <v>65</v>
      </c>
      <c r="K190" s="16"/>
    </row>
    <row r="191" spans="1:75" ht="15" customHeight="1">
      <c r="A191" s="49"/>
      <c r="C191" s="12" t="s">
        <v>511</v>
      </c>
      <c r="D191" s="12" t="s">
        <v>495</v>
      </c>
      <c r="F191" s="47">
        <v>3.0000000000000004</v>
      </c>
      <c r="K191" s="16"/>
    </row>
    <row r="192" spans="1:75" ht="13.5" customHeight="1">
      <c r="A192" s="15" t="s">
        <v>355</v>
      </c>
      <c r="B192" s="4" t="s">
        <v>659</v>
      </c>
      <c r="C192" s="66" t="s">
        <v>70</v>
      </c>
      <c r="D192" s="63"/>
      <c r="E192" s="4" t="s">
        <v>584</v>
      </c>
      <c r="F192" s="45">
        <v>19.5</v>
      </c>
      <c r="G192" s="45">
        <v>0</v>
      </c>
      <c r="H192" s="45">
        <f>F192*AO192</f>
        <v>0</v>
      </c>
      <c r="I192" s="45">
        <f>F192*AP192</f>
        <v>0</v>
      </c>
      <c r="J192" s="45">
        <f>F192*G192</f>
        <v>0</v>
      </c>
      <c r="K192" s="43" t="s">
        <v>319</v>
      </c>
      <c r="Z192" s="45">
        <f>IF(AQ192="5",BJ192,0)</f>
        <v>0</v>
      </c>
      <c r="AB192" s="45">
        <f>IF(AQ192="1",BH192,0)</f>
        <v>0</v>
      </c>
      <c r="AC192" s="45">
        <f>IF(AQ192="1",BI192,0)</f>
        <v>0</v>
      </c>
      <c r="AD192" s="45">
        <f>IF(AQ192="7",BH192,0)</f>
        <v>0</v>
      </c>
      <c r="AE192" s="45">
        <f>IF(AQ192="7",BI192,0)</f>
        <v>0</v>
      </c>
      <c r="AF192" s="45">
        <f>IF(AQ192="2",BH192,0)</f>
        <v>0</v>
      </c>
      <c r="AG192" s="45">
        <f>IF(AQ192="2",BI192,0)</f>
        <v>0</v>
      </c>
      <c r="AH192" s="45">
        <f>IF(AQ192="0",BJ192,0)</f>
        <v>0</v>
      </c>
      <c r="AI192" s="22" t="s">
        <v>495</v>
      </c>
      <c r="AJ192" s="45">
        <f>IF(AN192=0,J192,0)</f>
        <v>0</v>
      </c>
      <c r="AK192" s="45">
        <f>IF(AN192=12,J192,0)</f>
        <v>0</v>
      </c>
      <c r="AL192" s="45">
        <f>IF(AN192=21,J192,0)</f>
        <v>0</v>
      </c>
      <c r="AN192" s="45">
        <v>21</v>
      </c>
      <c r="AO192" s="45">
        <f>G192*0.303950752868414</f>
        <v>0</v>
      </c>
      <c r="AP192" s="45">
        <f>G192*(1-0.303950752868414)</f>
        <v>0</v>
      </c>
      <c r="AQ192" s="28" t="s">
        <v>694</v>
      </c>
      <c r="AV192" s="45">
        <f>AW192+AX192</f>
        <v>0</v>
      </c>
      <c r="AW192" s="45">
        <f>F192*AO192</f>
        <v>0</v>
      </c>
      <c r="AX192" s="45">
        <f>F192*AP192</f>
        <v>0</v>
      </c>
      <c r="AY192" s="28" t="s">
        <v>571</v>
      </c>
      <c r="AZ192" s="28" t="s">
        <v>385</v>
      </c>
      <c r="BA192" s="22" t="s">
        <v>544</v>
      </c>
      <c r="BC192" s="45">
        <f>AW192+AX192</f>
        <v>0</v>
      </c>
      <c r="BD192" s="45">
        <f>G192/(100-BE192)*100</f>
        <v>0</v>
      </c>
      <c r="BE192" s="45">
        <v>0</v>
      </c>
      <c r="BF192" s="45">
        <f>192</f>
        <v>192</v>
      </c>
      <c r="BH192" s="45">
        <f>F192*AO192</f>
        <v>0</v>
      </c>
      <c r="BI192" s="45">
        <f>F192*AP192</f>
        <v>0</v>
      </c>
      <c r="BJ192" s="45">
        <f>F192*G192</f>
        <v>0</v>
      </c>
      <c r="BK192" s="45"/>
      <c r="BL192" s="45">
        <v>764</v>
      </c>
      <c r="BW192" s="45">
        <v>21</v>
      </c>
    </row>
    <row r="193" spans="1:75" ht="15" customHeight="1">
      <c r="A193" s="49"/>
      <c r="C193" s="12" t="s">
        <v>246</v>
      </c>
      <c r="D193" s="12" t="s">
        <v>495</v>
      </c>
      <c r="F193" s="47">
        <v>18</v>
      </c>
      <c r="K193" s="16"/>
    </row>
    <row r="194" spans="1:75" ht="15" customHeight="1">
      <c r="A194" s="49"/>
      <c r="C194" s="12" t="s">
        <v>80</v>
      </c>
      <c r="D194" s="12" t="s">
        <v>495</v>
      </c>
      <c r="F194" s="47">
        <v>0.60000000000000009</v>
      </c>
      <c r="K194" s="16"/>
    </row>
    <row r="195" spans="1:75" ht="15" customHeight="1">
      <c r="A195" s="49"/>
      <c r="C195" s="12" t="s">
        <v>479</v>
      </c>
      <c r="D195" s="12" t="s">
        <v>495</v>
      </c>
      <c r="F195" s="47">
        <v>0.9</v>
      </c>
      <c r="K195" s="16"/>
    </row>
    <row r="196" spans="1:75" ht="13.5" customHeight="1">
      <c r="A196" s="15" t="s">
        <v>760</v>
      </c>
      <c r="B196" s="4" t="s">
        <v>721</v>
      </c>
      <c r="C196" s="66" t="s">
        <v>589</v>
      </c>
      <c r="D196" s="63"/>
      <c r="E196" s="4" t="s">
        <v>686</v>
      </c>
      <c r="F196" s="45">
        <v>273</v>
      </c>
      <c r="G196" s="45">
        <v>0</v>
      </c>
      <c r="H196" s="45">
        <f>F196*AO196</f>
        <v>0</v>
      </c>
      <c r="I196" s="45">
        <f>F196*AP196</f>
        <v>0</v>
      </c>
      <c r="J196" s="45">
        <f>F196*G196</f>
        <v>0</v>
      </c>
      <c r="K196" s="43" t="s">
        <v>319</v>
      </c>
      <c r="Z196" s="45">
        <f>IF(AQ196="5",BJ196,0)</f>
        <v>0</v>
      </c>
      <c r="AB196" s="45">
        <f>IF(AQ196="1",BH196,0)</f>
        <v>0</v>
      </c>
      <c r="AC196" s="45">
        <f>IF(AQ196="1",BI196,0)</f>
        <v>0</v>
      </c>
      <c r="AD196" s="45">
        <f>IF(AQ196="7",BH196,0)</f>
        <v>0</v>
      </c>
      <c r="AE196" s="45">
        <f>IF(AQ196="7",BI196,0)</f>
        <v>0</v>
      </c>
      <c r="AF196" s="45">
        <f>IF(AQ196="2",BH196,0)</f>
        <v>0</v>
      </c>
      <c r="AG196" s="45">
        <f>IF(AQ196="2",BI196,0)</f>
        <v>0</v>
      </c>
      <c r="AH196" s="45">
        <f>IF(AQ196="0",BJ196,0)</f>
        <v>0</v>
      </c>
      <c r="AI196" s="22" t="s">
        <v>495</v>
      </c>
      <c r="AJ196" s="45">
        <f>IF(AN196=0,J196,0)</f>
        <v>0</v>
      </c>
      <c r="AK196" s="45">
        <f>IF(AN196=12,J196,0)</f>
        <v>0</v>
      </c>
      <c r="AL196" s="45">
        <f>IF(AN196=21,J196,0)</f>
        <v>0</v>
      </c>
      <c r="AN196" s="45">
        <v>21</v>
      </c>
      <c r="AO196" s="45">
        <f>G196*0.329814682822523</f>
        <v>0</v>
      </c>
      <c r="AP196" s="45">
        <f>G196*(1-0.329814682822523)</f>
        <v>0</v>
      </c>
      <c r="AQ196" s="28" t="s">
        <v>694</v>
      </c>
      <c r="AV196" s="45">
        <f>AW196+AX196</f>
        <v>0</v>
      </c>
      <c r="AW196" s="45">
        <f>F196*AO196</f>
        <v>0</v>
      </c>
      <c r="AX196" s="45">
        <f>F196*AP196</f>
        <v>0</v>
      </c>
      <c r="AY196" s="28" t="s">
        <v>571</v>
      </c>
      <c r="AZ196" s="28" t="s">
        <v>385</v>
      </c>
      <c r="BA196" s="22" t="s">
        <v>544</v>
      </c>
      <c r="BC196" s="45">
        <f>AW196+AX196</f>
        <v>0</v>
      </c>
      <c r="BD196" s="45">
        <f>G196/(100-BE196)*100</f>
        <v>0</v>
      </c>
      <c r="BE196" s="45">
        <v>0</v>
      </c>
      <c r="BF196" s="45">
        <f>196</f>
        <v>196</v>
      </c>
      <c r="BH196" s="45">
        <f>F196*AO196</f>
        <v>0</v>
      </c>
      <c r="BI196" s="45">
        <f>F196*AP196</f>
        <v>0</v>
      </c>
      <c r="BJ196" s="45">
        <f>F196*G196</f>
        <v>0</v>
      </c>
      <c r="BK196" s="45"/>
      <c r="BL196" s="45">
        <v>764</v>
      </c>
      <c r="BW196" s="45">
        <v>21</v>
      </c>
    </row>
    <row r="197" spans="1:75" ht="15" customHeight="1">
      <c r="A197" s="49"/>
      <c r="C197" s="12" t="s">
        <v>674</v>
      </c>
      <c r="D197" s="12" t="s">
        <v>495</v>
      </c>
      <c r="F197" s="47">
        <v>260</v>
      </c>
      <c r="K197" s="16"/>
    </row>
    <row r="198" spans="1:75" ht="15" customHeight="1">
      <c r="A198" s="49"/>
      <c r="C198" s="12" t="s">
        <v>604</v>
      </c>
      <c r="D198" s="12" t="s">
        <v>495</v>
      </c>
      <c r="F198" s="47">
        <v>13.000000000000002</v>
      </c>
      <c r="K198" s="16"/>
    </row>
    <row r="199" spans="1:75" ht="13.5" customHeight="1">
      <c r="A199" s="15" t="s">
        <v>725</v>
      </c>
      <c r="B199" s="4" t="s">
        <v>554</v>
      </c>
      <c r="C199" s="66" t="s">
        <v>705</v>
      </c>
      <c r="D199" s="63"/>
      <c r="E199" s="4" t="s">
        <v>584</v>
      </c>
      <c r="F199" s="45">
        <v>12.5</v>
      </c>
      <c r="G199" s="45">
        <v>0</v>
      </c>
      <c r="H199" s="45">
        <f>F199*AO199</f>
        <v>0</v>
      </c>
      <c r="I199" s="45">
        <f>F199*AP199</f>
        <v>0</v>
      </c>
      <c r="J199" s="45">
        <f>F199*G199</f>
        <v>0</v>
      </c>
      <c r="K199" s="43" t="s">
        <v>319</v>
      </c>
      <c r="Z199" s="45">
        <f>IF(AQ199="5",BJ199,0)</f>
        <v>0</v>
      </c>
      <c r="AB199" s="45">
        <f>IF(AQ199="1",BH199,0)</f>
        <v>0</v>
      </c>
      <c r="AC199" s="45">
        <f>IF(AQ199="1",BI199,0)</f>
        <v>0</v>
      </c>
      <c r="AD199" s="45">
        <f>IF(AQ199="7",BH199,0)</f>
        <v>0</v>
      </c>
      <c r="AE199" s="45">
        <f>IF(AQ199="7",BI199,0)</f>
        <v>0</v>
      </c>
      <c r="AF199" s="45">
        <f>IF(AQ199="2",BH199,0)</f>
        <v>0</v>
      </c>
      <c r="AG199" s="45">
        <f>IF(AQ199="2",BI199,0)</f>
        <v>0</v>
      </c>
      <c r="AH199" s="45">
        <f>IF(AQ199="0",BJ199,0)</f>
        <v>0</v>
      </c>
      <c r="AI199" s="22" t="s">
        <v>495</v>
      </c>
      <c r="AJ199" s="45">
        <f>IF(AN199=0,J199,0)</f>
        <v>0</v>
      </c>
      <c r="AK199" s="45">
        <f>IF(AN199=12,J199,0)</f>
        <v>0</v>
      </c>
      <c r="AL199" s="45">
        <f>IF(AN199=21,J199,0)</f>
        <v>0</v>
      </c>
      <c r="AN199" s="45">
        <v>21</v>
      </c>
      <c r="AO199" s="45">
        <f>G199*0.647658959537572</f>
        <v>0</v>
      </c>
      <c r="AP199" s="45">
        <f>G199*(1-0.647658959537572)</f>
        <v>0</v>
      </c>
      <c r="AQ199" s="28" t="s">
        <v>694</v>
      </c>
      <c r="AV199" s="45">
        <f>AW199+AX199</f>
        <v>0</v>
      </c>
      <c r="AW199" s="45">
        <f>F199*AO199</f>
        <v>0</v>
      </c>
      <c r="AX199" s="45">
        <f>F199*AP199</f>
        <v>0</v>
      </c>
      <c r="AY199" s="28" t="s">
        <v>571</v>
      </c>
      <c r="AZ199" s="28" t="s">
        <v>385</v>
      </c>
      <c r="BA199" s="22" t="s">
        <v>544</v>
      </c>
      <c r="BC199" s="45">
        <f>AW199+AX199</f>
        <v>0</v>
      </c>
      <c r="BD199" s="45">
        <f>G199/(100-BE199)*100</f>
        <v>0</v>
      </c>
      <c r="BE199" s="45">
        <v>0</v>
      </c>
      <c r="BF199" s="45">
        <f>199</f>
        <v>199</v>
      </c>
      <c r="BH199" s="45">
        <f>F199*AO199</f>
        <v>0</v>
      </c>
      <c r="BI199" s="45">
        <f>F199*AP199</f>
        <v>0</v>
      </c>
      <c r="BJ199" s="45">
        <f>F199*G199</f>
        <v>0</v>
      </c>
      <c r="BK199" s="45"/>
      <c r="BL199" s="45">
        <v>764</v>
      </c>
      <c r="BW199" s="45">
        <v>21</v>
      </c>
    </row>
    <row r="200" spans="1:75" ht="15" customHeight="1">
      <c r="A200" s="49"/>
      <c r="C200" s="12" t="s">
        <v>293</v>
      </c>
      <c r="D200" s="12" t="s">
        <v>495</v>
      </c>
      <c r="F200" s="47">
        <v>8</v>
      </c>
      <c r="K200" s="16"/>
    </row>
    <row r="201" spans="1:75" ht="15" customHeight="1">
      <c r="A201" s="49"/>
      <c r="C201" s="12" t="s">
        <v>390</v>
      </c>
      <c r="D201" s="12" t="s">
        <v>495</v>
      </c>
      <c r="F201" s="47">
        <v>4</v>
      </c>
      <c r="K201" s="16"/>
    </row>
    <row r="202" spans="1:75" ht="15" customHeight="1">
      <c r="A202" s="49"/>
      <c r="C202" s="12" t="s">
        <v>747</v>
      </c>
      <c r="D202" s="12" t="s">
        <v>495</v>
      </c>
      <c r="F202" s="47">
        <v>0.5</v>
      </c>
      <c r="K202" s="16"/>
    </row>
    <row r="203" spans="1:75" ht="13.5" customHeight="1">
      <c r="A203" s="15" t="s">
        <v>6</v>
      </c>
      <c r="B203" s="4" t="s">
        <v>645</v>
      </c>
      <c r="C203" s="66" t="s">
        <v>405</v>
      </c>
      <c r="D203" s="63"/>
      <c r="E203" s="4" t="s">
        <v>584</v>
      </c>
      <c r="F203" s="45">
        <v>4</v>
      </c>
      <c r="G203" s="45">
        <v>0</v>
      </c>
      <c r="H203" s="45">
        <f>F203*AO203</f>
        <v>0</v>
      </c>
      <c r="I203" s="45">
        <f>F203*AP203</f>
        <v>0</v>
      </c>
      <c r="J203" s="45">
        <f>F203*G203</f>
        <v>0</v>
      </c>
      <c r="K203" s="43" t="s">
        <v>319</v>
      </c>
      <c r="Z203" s="45">
        <f>IF(AQ203="5",BJ203,0)</f>
        <v>0</v>
      </c>
      <c r="AB203" s="45">
        <f>IF(AQ203="1",BH203,0)</f>
        <v>0</v>
      </c>
      <c r="AC203" s="45">
        <f>IF(AQ203="1",BI203,0)</f>
        <v>0</v>
      </c>
      <c r="AD203" s="45">
        <f>IF(AQ203="7",BH203,0)</f>
        <v>0</v>
      </c>
      <c r="AE203" s="45">
        <f>IF(AQ203="7",BI203,0)</f>
        <v>0</v>
      </c>
      <c r="AF203" s="45">
        <f>IF(AQ203="2",BH203,0)</f>
        <v>0</v>
      </c>
      <c r="AG203" s="45">
        <f>IF(AQ203="2",BI203,0)</f>
        <v>0</v>
      </c>
      <c r="AH203" s="45">
        <f>IF(AQ203="0",BJ203,0)</f>
        <v>0</v>
      </c>
      <c r="AI203" s="22" t="s">
        <v>495</v>
      </c>
      <c r="AJ203" s="45">
        <f>IF(AN203=0,J203,0)</f>
        <v>0</v>
      </c>
      <c r="AK203" s="45">
        <f>IF(AN203=12,J203,0)</f>
        <v>0</v>
      </c>
      <c r="AL203" s="45">
        <f>IF(AN203=21,J203,0)</f>
        <v>0</v>
      </c>
      <c r="AN203" s="45">
        <v>21</v>
      </c>
      <c r="AO203" s="45">
        <f>G203*0.636147128870071</f>
        <v>0</v>
      </c>
      <c r="AP203" s="45">
        <f>G203*(1-0.636147128870071)</f>
        <v>0</v>
      </c>
      <c r="AQ203" s="28" t="s">
        <v>694</v>
      </c>
      <c r="AV203" s="45">
        <f>AW203+AX203</f>
        <v>0</v>
      </c>
      <c r="AW203" s="45">
        <f>F203*AO203</f>
        <v>0</v>
      </c>
      <c r="AX203" s="45">
        <f>F203*AP203</f>
        <v>0</v>
      </c>
      <c r="AY203" s="28" t="s">
        <v>571</v>
      </c>
      <c r="AZ203" s="28" t="s">
        <v>385</v>
      </c>
      <c r="BA203" s="22" t="s">
        <v>544</v>
      </c>
      <c r="BC203" s="45">
        <f>AW203+AX203</f>
        <v>0</v>
      </c>
      <c r="BD203" s="45">
        <f>G203/(100-BE203)*100</f>
        <v>0</v>
      </c>
      <c r="BE203" s="45">
        <v>0</v>
      </c>
      <c r="BF203" s="45">
        <f>203</f>
        <v>203</v>
      </c>
      <c r="BH203" s="45">
        <f>F203*AO203</f>
        <v>0</v>
      </c>
      <c r="BI203" s="45">
        <f>F203*AP203</f>
        <v>0</v>
      </c>
      <c r="BJ203" s="45">
        <f>F203*G203</f>
        <v>0</v>
      </c>
      <c r="BK203" s="45"/>
      <c r="BL203" s="45">
        <v>764</v>
      </c>
      <c r="BW203" s="45">
        <v>21</v>
      </c>
    </row>
    <row r="204" spans="1:75" ht="15" customHeight="1">
      <c r="A204" s="49"/>
      <c r="C204" s="12" t="s">
        <v>609</v>
      </c>
      <c r="D204" s="12" t="s">
        <v>495</v>
      </c>
      <c r="F204" s="47">
        <v>4</v>
      </c>
      <c r="K204" s="16"/>
    </row>
    <row r="205" spans="1:75" ht="13.5" customHeight="1">
      <c r="A205" s="15" t="s">
        <v>112</v>
      </c>
      <c r="B205" s="4" t="s">
        <v>537</v>
      </c>
      <c r="C205" s="66" t="s">
        <v>208</v>
      </c>
      <c r="D205" s="63"/>
      <c r="E205" s="4" t="s">
        <v>584</v>
      </c>
      <c r="F205" s="45">
        <v>9</v>
      </c>
      <c r="G205" s="45">
        <v>0</v>
      </c>
      <c r="H205" s="45">
        <f>F205*AO205</f>
        <v>0</v>
      </c>
      <c r="I205" s="45">
        <f>F205*AP205</f>
        <v>0</v>
      </c>
      <c r="J205" s="45">
        <f>F205*G205</f>
        <v>0</v>
      </c>
      <c r="K205" s="43" t="s">
        <v>319</v>
      </c>
      <c r="Z205" s="45">
        <f>IF(AQ205="5",BJ205,0)</f>
        <v>0</v>
      </c>
      <c r="AB205" s="45">
        <f>IF(AQ205="1",BH205,0)</f>
        <v>0</v>
      </c>
      <c r="AC205" s="45">
        <f>IF(AQ205="1",BI205,0)</f>
        <v>0</v>
      </c>
      <c r="AD205" s="45">
        <f>IF(AQ205="7",BH205,0)</f>
        <v>0</v>
      </c>
      <c r="AE205" s="45">
        <f>IF(AQ205="7",BI205,0)</f>
        <v>0</v>
      </c>
      <c r="AF205" s="45">
        <f>IF(AQ205="2",BH205,0)</f>
        <v>0</v>
      </c>
      <c r="AG205" s="45">
        <f>IF(AQ205="2",BI205,0)</f>
        <v>0</v>
      </c>
      <c r="AH205" s="45">
        <f>IF(AQ205="0",BJ205,0)</f>
        <v>0</v>
      </c>
      <c r="AI205" s="22" t="s">
        <v>495</v>
      </c>
      <c r="AJ205" s="45">
        <f>IF(AN205=0,J205,0)</f>
        <v>0</v>
      </c>
      <c r="AK205" s="45">
        <f>IF(AN205=12,J205,0)</f>
        <v>0</v>
      </c>
      <c r="AL205" s="45">
        <f>IF(AN205=21,J205,0)</f>
        <v>0</v>
      </c>
      <c r="AN205" s="45">
        <v>21</v>
      </c>
      <c r="AO205" s="45">
        <f>G205*0.0567681007345226</f>
        <v>0</v>
      </c>
      <c r="AP205" s="45">
        <f>G205*(1-0.0567681007345226)</f>
        <v>0</v>
      </c>
      <c r="AQ205" s="28" t="s">
        <v>694</v>
      </c>
      <c r="AV205" s="45">
        <f>AW205+AX205</f>
        <v>0</v>
      </c>
      <c r="AW205" s="45">
        <f>F205*AO205</f>
        <v>0</v>
      </c>
      <c r="AX205" s="45">
        <f>F205*AP205</f>
        <v>0</v>
      </c>
      <c r="AY205" s="28" t="s">
        <v>571</v>
      </c>
      <c r="AZ205" s="28" t="s">
        <v>385</v>
      </c>
      <c r="BA205" s="22" t="s">
        <v>544</v>
      </c>
      <c r="BC205" s="45">
        <f>AW205+AX205</f>
        <v>0</v>
      </c>
      <c r="BD205" s="45">
        <f>G205/(100-BE205)*100</f>
        <v>0</v>
      </c>
      <c r="BE205" s="45">
        <v>0</v>
      </c>
      <c r="BF205" s="45">
        <f>205</f>
        <v>205</v>
      </c>
      <c r="BH205" s="45">
        <f>F205*AO205</f>
        <v>0</v>
      </c>
      <c r="BI205" s="45">
        <f>F205*AP205</f>
        <v>0</v>
      </c>
      <c r="BJ205" s="45">
        <f>F205*G205</f>
        <v>0</v>
      </c>
      <c r="BK205" s="45"/>
      <c r="BL205" s="45">
        <v>764</v>
      </c>
      <c r="BW205" s="45">
        <v>21</v>
      </c>
    </row>
    <row r="206" spans="1:75" ht="15" customHeight="1">
      <c r="A206" s="49"/>
      <c r="C206" s="12" t="s">
        <v>722</v>
      </c>
      <c r="D206" s="12" t="s">
        <v>495</v>
      </c>
      <c r="F206" s="47">
        <v>9</v>
      </c>
      <c r="K206" s="16"/>
    </row>
    <row r="207" spans="1:75" ht="13.5" customHeight="1">
      <c r="A207" s="15" t="s">
        <v>146</v>
      </c>
      <c r="B207" s="4" t="s">
        <v>560</v>
      </c>
      <c r="C207" s="66" t="s">
        <v>24</v>
      </c>
      <c r="D207" s="63"/>
      <c r="E207" s="4" t="s">
        <v>168</v>
      </c>
      <c r="F207" s="45">
        <v>9</v>
      </c>
      <c r="G207" s="45">
        <v>0</v>
      </c>
      <c r="H207" s="45">
        <f>F207*AO207</f>
        <v>0</v>
      </c>
      <c r="I207" s="45">
        <f>F207*AP207</f>
        <v>0</v>
      </c>
      <c r="J207" s="45">
        <f>F207*G207</f>
        <v>0</v>
      </c>
      <c r="K207" s="43" t="s">
        <v>199</v>
      </c>
      <c r="Z207" s="45">
        <f>IF(AQ207="5",BJ207,0)</f>
        <v>0</v>
      </c>
      <c r="AB207" s="45">
        <f>IF(AQ207="1",BH207,0)</f>
        <v>0</v>
      </c>
      <c r="AC207" s="45">
        <f>IF(AQ207="1",BI207,0)</f>
        <v>0</v>
      </c>
      <c r="AD207" s="45">
        <f>IF(AQ207="7",BH207,0)</f>
        <v>0</v>
      </c>
      <c r="AE207" s="45">
        <f>IF(AQ207="7",BI207,0)</f>
        <v>0</v>
      </c>
      <c r="AF207" s="45">
        <f>IF(AQ207="2",BH207,0)</f>
        <v>0</v>
      </c>
      <c r="AG207" s="45">
        <f>IF(AQ207="2",BI207,0)</f>
        <v>0</v>
      </c>
      <c r="AH207" s="45">
        <f>IF(AQ207="0",BJ207,0)</f>
        <v>0</v>
      </c>
      <c r="AI207" s="22" t="s">
        <v>495</v>
      </c>
      <c r="AJ207" s="45">
        <f>IF(AN207=0,J207,0)</f>
        <v>0</v>
      </c>
      <c r="AK207" s="45">
        <f>IF(AN207=12,J207,0)</f>
        <v>0</v>
      </c>
      <c r="AL207" s="45">
        <f>IF(AN207=21,J207,0)</f>
        <v>0</v>
      </c>
      <c r="AN207" s="45">
        <v>21</v>
      </c>
      <c r="AO207" s="45">
        <f>G207*1</f>
        <v>0</v>
      </c>
      <c r="AP207" s="45">
        <f>G207*(1-1)</f>
        <v>0</v>
      </c>
      <c r="AQ207" s="28" t="s">
        <v>694</v>
      </c>
      <c r="AV207" s="45">
        <f>AW207+AX207</f>
        <v>0</v>
      </c>
      <c r="AW207" s="45">
        <f>F207*AO207</f>
        <v>0</v>
      </c>
      <c r="AX207" s="45">
        <f>F207*AP207</f>
        <v>0</v>
      </c>
      <c r="AY207" s="28" t="s">
        <v>571</v>
      </c>
      <c r="AZ207" s="28" t="s">
        <v>385</v>
      </c>
      <c r="BA207" s="22" t="s">
        <v>544</v>
      </c>
      <c r="BC207" s="45">
        <f>AW207+AX207</f>
        <v>0</v>
      </c>
      <c r="BD207" s="45">
        <f>G207/(100-BE207)*100</f>
        <v>0</v>
      </c>
      <c r="BE207" s="45">
        <v>0</v>
      </c>
      <c r="BF207" s="45">
        <f>207</f>
        <v>207</v>
      </c>
      <c r="BH207" s="45">
        <f>F207*AO207</f>
        <v>0</v>
      </c>
      <c r="BI207" s="45">
        <f>F207*AP207</f>
        <v>0</v>
      </c>
      <c r="BJ207" s="45">
        <f>F207*G207</f>
        <v>0</v>
      </c>
      <c r="BK207" s="45"/>
      <c r="BL207" s="45">
        <v>764</v>
      </c>
      <c r="BW207" s="45">
        <v>21</v>
      </c>
    </row>
    <row r="208" spans="1:75" ht="15" customHeight="1">
      <c r="A208" s="49"/>
      <c r="C208" s="12" t="s">
        <v>713</v>
      </c>
      <c r="D208" s="12" t="s">
        <v>495</v>
      </c>
      <c r="F208" s="47">
        <v>9</v>
      </c>
      <c r="K208" s="16"/>
    </row>
    <row r="209" spans="1:75" ht="13.5" customHeight="1">
      <c r="A209" s="15" t="s">
        <v>555</v>
      </c>
      <c r="B209" s="4" t="s">
        <v>147</v>
      </c>
      <c r="C209" s="66" t="s">
        <v>649</v>
      </c>
      <c r="D209" s="63"/>
      <c r="E209" s="4" t="s">
        <v>168</v>
      </c>
      <c r="F209" s="45">
        <v>4</v>
      </c>
      <c r="G209" s="45">
        <v>0</v>
      </c>
      <c r="H209" s="45">
        <f>F209*AO209</f>
        <v>0</v>
      </c>
      <c r="I209" s="45">
        <f>F209*AP209</f>
        <v>0</v>
      </c>
      <c r="J209" s="45">
        <f>F209*G209</f>
        <v>0</v>
      </c>
      <c r="K209" s="43" t="s">
        <v>319</v>
      </c>
      <c r="Z209" s="45">
        <f>IF(AQ209="5",BJ209,0)</f>
        <v>0</v>
      </c>
      <c r="AB209" s="45">
        <f>IF(AQ209="1",BH209,0)</f>
        <v>0</v>
      </c>
      <c r="AC209" s="45">
        <f>IF(AQ209="1",BI209,0)</f>
        <v>0</v>
      </c>
      <c r="AD209" s="45">
        <f>IF(AQ209="7",BH209,0)</f>
        <v>0</v>
      </c>
      <c r="AE209" s="45">
        <f>IF(AQ209="7",BI209,0)</f>
        <v>0</v>
      </c>
      <c r="AF209" s="45">
        <f>IF(AQ209="2",BH209,0)</f>
        <v>0</v>
      </c>
      <c r="AG209" s="45">
        <f>IF(AQ209="2",BI209,0)</f>
        <v>0</v>
      </c>
      <c r="AH209" s="45">
        <f>IF(AQ209="0",BJ209,0)</f>
        <v>0</v>
      </c>
      <c r="AI209" s="22" t="s">
        <v>495</v>
      </c>
      <c r="AJ209" s="45">
        <f>IF(AN209=0,J209,0)</f>
        <v>0</v>
      </c>
      <c r="AK209" s="45">
        <f>IF(AN209=12,J209,0)</f>
        <v>0</v>
      </c>
      <c r="AL209" s="45">
        <f>IF(AN209=21,J209,0)</f>
        <v>0</v>
      </c>
      <c r="AN209" s="45">
        <v>21</v>
      </c>
      <c r="AO209" s="45">
        <f>G209*0.801131034482759</f>
        <v>0</v>
      </c>
      <c r="AP209" s="45">
        <f>G209*(1-0.801131034482759)</f>
        <v>0</v>
      </c>
      <c r="AQ209" s="28" t="s">
        <v>694</v>
      </c>
      <c r="AV209" s="45">
        <f>AW209+AX209</f>
        <v>0</v>
      </c>
      <c r="AW209" s="45">
        <f>F209*AO209</f>
        <v>0</v>
      </c>
      <c r="AX209" s="45">
        <f>F209*AP209</f>
        <v>0</v>
      </c>
      <c r="AY209" s="28" t="s">
        <v>571</v>
      </c>
      <c r="AZ209" s="28" t="s">
        <v>385</v>
      </c>
      <c r="BA209" s="22" t="s">
        <v>544</v>
      </c>
      <c r="BC209" s="45">
        <f>AW209+AX209</f>
        <v>0</v>
      </c>
      <c r="BD209" s="45">
        <f>G209/(100-BE209)*100</f>
        <v>0</v>
      </c>
      <c r="BE209" s="45">
        <v>0</v>
      </c>
      <c r="BF209" s="45">
        <f>209</f>
        <v>209</v>
      </c>
      <c r="BH209" s="45">
        <f>F209*AO209</f>
        <v>0</v>
      </c>
      <c r="BI209" s="45">
        <f>F209*AP209</f>
        <v>0</v>
      </c>
      <c r="BJ209" s="45">
        <f>F209*G209</f>
        <v>0</v>
      </c>
      <c r="BK209" s="45"/>
      <c r="BL209" s="45">
        <v>764</v>
      </c>
      <c r="BW209" s="45">
        <v>21</v>
      </c>
    </row>
    <row r="210" spans="1:75" ht="15" customHeight="1">
      <c r="A210" s="49"/>
      <c r="C210" s="12" t="s">
        <v>534</v>
      </c>
      <c r="D210" s="12" t="s">
        <v>495</v>
      </c>
      <c r="F210" s="47">
        <v>2</v>
      </c>
      <c r="K210" s="16"/>
    </row>
    <row r="211" spans="1:75" ht="15" customHeight="1">
      <c r="A211" s="49"/>
      <c r="C211" s="12" t="s">
        <v>47</v>
      </c>
      <c r="D211" s="12" t="s">
        <v>495</v>
      </c>
      <c r="F211" s="47">
        <v>1</v>
      </c>
      <c r="K211" s="16"/>
    </row>
    <row r="212" spans="1:75" ht="15" customHeight="1">
      <c r="A212" s="49"/>
      <c r="C212" s="12" t="s">
        <v>780</v>
      </c>
      <c r="D212" s="12" t="s">
        <v>495</v>
      </c>
      <c r="F212" s="47">
        <v>1</v>
      </c>
      <c r="K212" s="16"/>
    </row>
    <row r="213" spans="1:75" ht="13.5" customHeight="1">
      <c r="A213" s="15" t="s">
        <v>48</v>
      </c>
      <c r="B213" s="4" t="s">
        <v>518</v>
      </c>
      <c r="C213" s="66" t="s">
        <v>227</v>
      </c>
      <c r="D213" s="63"/>
      <c r="E213" s="4" t="s">
        <v>168</v>
      </c>
      <c r="F213" s="45">
        <v>1</v>
      </c>
      <c r="G213" s="45">
        <v>0</v>
      </c>
      <c r="H213" s="45">
        <f>F213*AO213</f>
        <v>0</v>
      </c>
      <c r="I213" s="45">
        <f>F213*AP213</f>
        <v>0</v>
      </c>
      <c r="J213" s="45">
        <f>F213*G213</f>
        <v>0</v>
      </c>
      <c r="K213" s="43" t="s">
        <v>319</v>
      </c>
      <c r="Z213" s="45">
        <f>IF(AQ213="5",BJ213,0)</f>
        <v>0</v>
      </c>
      <c r="AB213" s="45">
        <f>IF(AQ213="1",BH213,0)</f>
        <v>0</v>
      </c>
      <c r="AC213" s="45">
        <f>IF(AQ213="1",BI213,0)</f>
        <v>0</v>
      </c>
      <c r="AD213" s="45">
        <f>IF(AQ213="7",BH213,0)</f>
        <v>0</v>
      </c>
      <c r="AE213" s="45">
        <f>IF(AQ213="7",BI213,0)</f>
        <v>0</v>
      </c>
      <c r="AF213" s="45">
        <f>IF(AQ213="2",BH213,0)</f>
        <v>0</v>
      </c>
      <c r="AG213" s="45">
        <f>IF(AQ213="2",BI213,0)</f>
        <v>0</v>
      </c>
      <c r="AH213" s="45">
        <f>IF(AQ213="0",BJ213,0)</f>
        <v>0</v>
      </c>
      <c r="AI213" s="22" t="s">
        <v>495</v>
      </c>
      <c r="AJ213" s="45">
        <f>IF(AN213=0,J213,0)</f>
        <v>0</v>
      </c>
      <c r="AK213" s="45">
        <f>IF(AN213=12,J213,0)</f>
        <v>0</v>
      </c>
      <c r="AL213" s="45">
        <f>IF(AN213=21,J213,0)</f>
        <v>0</v>
      </c>
      <c r="AN213" s="45">
        <v>21</v>
      </c>
      <c r="AO213" s="45">
        <f>G213*0.784161676646707</f>
        <v>0</v>
      </c>
      <c r="AP213" s="45">
        <f>G213*(1-0.784161676646707)</f>
        <v>0</v>
      </c>
      <c r="AQ213" s="28" t="s">
        <v>694</v>
      </c>
      <c r="AV213" s="45">
        <f>AW213+AX213</f>
        <v>0</v>
      </c>
      <c r="AW213" s="45">
        <f>F213*AO213</f>
        <v>0</v>
      </c>
      <c r="AX213" s="45">
        <f>F213*AP213</f>
        <v>0</v>
      </c>
      <c r="AY213" s="28" t="s">
        <v>571</v>
      </c>
      <c r="AZ213" s="28" t="s">
        <v>385</v>
      </c>
      <c r="BA213" s="22" t="s">
        <v>544</v>
      </c>
      <c r="BC213" s="45">
        <f>AW213+AX213</f>
        <v>0</v>
      </c>
      <c r="BD213" s="45">
        <f>G213/(100-BE213)*100</f>
        <v>0</v>
      </c>
      <c r="BE213" s="45">
        <v>0</v>
      </c>
      <c r="BF213" s="45">
        <f>213</f>
        <v>213</v>
      </c>
      <c r="BH213" s="45">
        <f>F213*AO213</f>
        <v>0</v>
      </c>
      <c r="BI213" s="45">
        <f>F213*AP213</f>
        <v>0</v>
      </c>
      <c r="BJ213" s="45">
        <f>F213*G213</f>
        <v>0</v>
      </c>
      <c r="BK213" s="45"/>
      <c r="BL213" s="45">
        <v>764</v>
      </c>
      <c r="BW213" s="45">
        <v>21</v>
      </c>
    </row>
    <row r="214" spans="1:75" ht="15" customHeight="1">
      <c r="A214" s="49"/>
      <c r="C214" s="12" t="s">
        <v>106</v>
      </c>
      <c r="D214" s="12" t="s">
        <v>495</v>
      </c>
      <c r="F214" s="47">
        <v>1</v>
      </c>
      <c r="K214" s="16"/>
    </row>
    <row r="215" spans="1:75" ht="13.5" customHeight="1">
      <c r="A215" s="15" t="s">
        <v>550</v>
      </c>
      <c r="B215" s="4" t="s">
        <v>628</v>
      </c>
      <c r="C215" s="66" t="s">
        <v>264</v>
      </c>
      <c r="D215" s="63"/>
      <c r="E215" s="4" t="s">
        <v>584</v>
      </c>
      <c r="F215" s="45">
        <v>65</v>
      </c>
      <c r="G215" s="45">
        <v>0</v>
      </c>
      <c r="H215" s="45">
        <f>F215*AO215</f>
        <v>0</v>
      </c>
      <c r="I215" s="45">
        <f>F215*AP215</f>
        <v>0</v>
      </c>
      <c r="J215" s="45">
        <f>F215*G215</f>
        <v>0</v>
      </c>
      <c r="K215" s="43" t="s">
        <v>319</v>
      </c>
      <c r="Z215" s="45">
        <f>IF(AQ215="5",BJ215,0)</f>
        <v>0</v>
      </c>
      <c r="AB215" s="45">
        <f>IF(AQ215="1",BH215,0)</f>
        <v>0</v>
      </c>
      <c r="AC215" s="45">
        <f>IF(AQ215="1",BI215,0)</f>
        <v>0</v>
      </c>
      <c r="AD215" s="45">
        <f>IF(AQ215="7",BH215,0)</f>
        <v>0</v>
      </c>
      <c r="AE215" s="45">
        <f>IF(AQ215="7",BI215,0)</f>
        <v>0</v>
      </c>
      <c r="AF215" s="45">
        <f>IF(AQ215="2",BH215,0)</f>
        <v>0</v>
      </c>
      <c r="AG215" s="45">
        <f>IF(AQ215="2",BI215,0)</f>
        <v>0</v>
      </c>
      <c r="AH215" s="45">
        <f>IF(AQ215="0",BJ215,0)</f>
        <v>0</v>
      </c>
      <c r="AI215" s="22" t="s">
        <v>495</v>
      </c>
      <c r="AJ215" s="45">
        <f>IF(AN215=0,J215,0)</f>
        <v>0</v>
      </c>
      <c r="AK215" s="45">
        <f>IF(AN215=12,J215,0)</f>
        <v>0</v>
      </c>
      <c r="AL215" s="45">
        <f>IF(AN215=21,J215,0)</f>
        <v>0</v>
      </c>
      <c r="AN215" s="45">
        <v>21</v>
      </c>
      <c r="AO215" s="45">
        <f>G215*0.556610169491525</f>
        <v>0</v>
      </c>
      <c r="AP215" s="45">
        <f>G215*(1-0.556610169491525)</f>
        <v>0</v>
      </c>
      <c r="AQ215" s="28" t="s">
        <v>694</v>
      </c>
      <c r="AV215" s="45">
        <f>AW215+AX215</f>
        <v>0</v>
      </c>
      <c r="AW215" s="45">
        <f>F215*AO215</f>
        <v>0</v>
      </c>
      <c r="AX215" s="45">
        <f>F215*AP215</f>
        <v>0</v>
      </c>
      <c r="AY215" s="28" t="s">
        <v>571</v>
      </c>
      <c r="AZ215" s="28" t="s">
        <v>385</v>
      </c>
      <c r="BA215" s="22" t="s">
        <v>544</v>
      </c>
      <c r="BC215" s="45">
        <f>AW215+AX215</f>
        <v>0</v>
      </c>
      <c r="BD215" s="45">
        <f>G215/(100-BE215)*100</f>
        <v>0</v>
      </c>
      <c r="BE215" s="45">
        <v>0</v>
      </c>
      <c r="BF215" s="45">
        <f>215</f>
        <v>215</v>
      </c>
      <c r="BH215" s="45">
        <f>F215*AO215</f>
        <v>0</v>
      </c>
      <c r="BI215" s="45">
        <f>F215*AP215</f>
        <v>0</v>
      </c>
      <c r="BJ215" s="45">
        <f>F215*G215</f>
        <v>0</v>
      </c>
      <c r="BK215" s="45"/>
      <c r="BL215" s="45">
        <v>764</v>
      </c>
      <c r="BW215" s="45">
        <v>21</v>
      </c>
    </row>
    <row r="216" spans="1:75" ht="15" customHeight="1">
      <c r="A216" s="49"/>
      <c r="C216" s="12" t="s">
        <v>427</v>
      </c>
      <c r="D216" s="12" t="s">
        <v>495</v>
      </c>
      <c r="F216" s="47">
        <v>65</v>
      </c>
      <c r="K216" s="16"/>
    </row>
    <row r="217" spans="1:75" ht="13.5" customHeight="1">
      <c r="A217" s="15" t="s">
        <v>438</v>
      </c>
      <c r="B217" s="4" t="s">
        <v>504</v>
      </c>
      <c r="C217" s="66" t="s">
        <v>117</v>
      </c>
      <c r="D217" s="63"/>
      <c r="E217" s="4" t="s">
        <v>584</v>
      </c>
      <c r="F217" s="45">
        <v>3</v>
      </c>
      <c r="G217" s="45">
        <v>0</v>
      </c>
      <c r="H217" s="45">
        <f>F217*AO217</f>
        <v>0</v>
      </c>
      <c r="I217" s="45">
        <f>F217*AP217</f>
        <v>0</v>
      </c>
      <c r="J217" s="45">
        <f>F217*G217</f>
        <v>0</v>
      </c>
      <c r="K217" s="43" t="s">
        <v>319</v>
      </c>
      <c r="Z217" s="45">
        <f>IF(AQ217="5",BJ217,0)</f>
        <v>0</v>
      </c>
      <c r="AB217" s="45">
        <f>IF(AQ217="1",BH217,0)</f>
        <v>0</v>
      </c>
      <c r="AC217" s="45">
        <f>IF(AQ217="1",BI217,0)</f>
        <v>0</v>
      </c>
      <c r="AD217" s="45">
        <f>IF(AQ217="7",BH217,0)</f>
        <v>0</v>
      </c>
      <c r="AE217" s="45">
        <f>IF(AQ217="7",BI217,0)</f>
        <v>0</v>
      </c>
      <c r="AF217" s="45">
        <f>IF(AQ217="2",BH217,0)</f>
        <v>0</v>
      </c>
      <c r="AG217" s="45">
        <f>IF(AQ217="2",BI217,0)</f>
        <v>0</v>
      </c>
      <c r="AH217" s="45">
        <f>IF(AQ217="0",BJ217,0)</f>
        <v>0</v>
      </c>
      <c r="AI217" s="22" t="s">
        <v>495</v>
      </c>
      <c r="AJ217" s="45">
        <f>IF(AN217=0,J217,0)</f>
        <v>0</v>
      </c>
      <c r="AK217" s="45">
        <f>IF(AN217=12,J217,0)</f>
        <v>0</v>
      </c>
      <c r="AL217" s="45">
        <f>IF(AN217=21,J217,0)</f>
        <v>0</v>
      </c>
      <c r="AN217" s="45">
        <v>21</v>
      </c>
      <c r="AO217" s="45">
        <f>G217*0.523574730354391</f>
        <v>0</v>
      </c>
      <c r="AP217" s="45">
        <f>G217*(1-0.523574730354391)</f>
        <v>0</v>
      </c>
      <c r="AQ217" s="28" t="s">
        <v>694</v>
      </c>
      <c r="AV217" s="45">
        <f>AW217+AX217</f>
        <v>0</v>
      </c>
      <c r="AW217" s="45">
        <f>F217*AO217</f>
        <v>0</v>
      </c>
      <c r="AX217" s="45">
        <f>F217*AP217</f>
        <v>0</v>
      </c>
      <c r="AY217" s="28" t="s">
        <v>571</v>
      </c>
      <c r="AZ217" s="28" t="s">
        <v>385</v>
      </c>
      <c r="BA217" s="22" t="s">
        <v>544</v>
      </c>
      <c r="BC217" s="45">
        <f>AW217+AX217</f>
        <v>0</v>
      </c>
      <c r="BD217" s="45">
        <f>G217/(100-BE217)*100</f>
        <v>0</v>
      </c>
      <c r="BE217" s="45">
        <v>0</v>
      </c>
      <c r="BF217" s="45">
        <f>217</f>
        <v>217</v>
      </c>
      <c r="BH217" s="45">
        <f>F217*AO217</f>
        <v>0</v>
      </c>
      <c r="BI217" s="45">
        <f>F217*AP217</f>
        <v>0</v>
      </c>
      <c r="BJ217" s="45">
        <f>F217*G217</f>
        <v>0</v>
      </c>
      <c r="BK217" s="45"/>
      <c r="BL217" s="45">
        <v>764</v>
      </c>
      <c r="BW217" s="45">
        <v>21</v>
      </c>
    </row>
    <row r="218" spans="1:75" ht="15" customHeight="1">
      <c r="A218" s="49"/>
      <c r="C218" s="12" t="s">
        <v>88</v>
      </c>
      <c r="D218" s="12" t="s">
        <v>495</v>
      </c>
      <c r="F218" s="47">
        <v>3.0000000000000004</v>
      </c>
      <c r="K218" s="16"/>
    </row>
    <row r="219" spans="1:75" ht="13.5" customHeight="1">
      <c r="A219" s="15" t="s">
        <v>696</v>
      </c>
      <c r="B219" s="4" t="s">
        <v>548</v>
      </c>
      <c r="C219" s="66" t="s">
        <v>87</v>
      </c>
      <c r="D219" s="63"/>
      <c r="E219" s="4" t="s">
        <v>168</v>
      </c>
      <c r="F219" s="45">
        <v>68</v>
      </c>
      <c r="G219" s="45">
        <v>0</v>
      </c>
      <c r="H219" s="45">
        <f>F219*AO219</f>
        <v>0</v>
      </c>
      <c r="I219" s="45">
        <f>F219*AP219</f>
        <v>0</v>
      </c>
      <c r="J219" s="45">
        <f>F219*G219</f>
        <v>0</v>
      </c>
      <c r="K219" s="43" t="s">
        <v>319</v>
      </c>
      <c r="Z219" s="45">
        <f>IF(AQ219="5",BJ219,0)</f>
        <v>0</v>
      </c>
      <c r="AB219" s="45">
        <f>IF(AQ219="1",BH219,0)</f>
        <v>0</v>
      </c>
      <c r="AC219" s="45">
        <f>IF(AQ219="1",BI219,0)</f>
        <v>0</v>
      </c>
      <c r="AD219" s="45">
        <f>IF(AQ219="7",BH219,0)</f>
        <v>0</v>
      </c>
      <c r="AE219" s="45">
        <f>IF(AQ219="7",BI219,0)</f>
        <v>0</v>
      </c>
      <c r="AF219" s="45">
        <f>IF(AQ219="2",BH219,0)</f>
        <v>0</v>
      </c>
      <c r="AG219" s="45">
        <f>IF(AQ219="2",BI219,0)</f>
        <v>0</v>
      </c>
      <c r="AH219" s="45">
        <f>IF(AQ219="0",BJ219,0)</f>
        <v>0</v>
      </c>
      <c r="AI219" s="22" t="s">
        <v>495</v>
      </c>
      <c r="AJ219" s="45">
        <f>IF(AN219=0,J219,0)</f>
        <v>0</v>
      </c>
      <c r="AK219" s="45">
        <f>IF(AN219=12,J219,0)</f>
        <v>0</v>
      </c>
      <c r="AL219" s="45">
        <f>IF(AN219=21,J219,0)</f>
        <v>0</v>
      </c>
      <c r="AN219" s="45">
        <v>21</v>
      </c>
      <c r="AO219" s="45">
        <f>G219*0.102591409300674</f>
        <v>0</v>
      </c>
      <c r="AP219" s="45">
        <f>G219*(1-0.102591409300674)</f>
        <v>0</v>
      </c>
      <c r="AQ219" s="28" t="s">
        <v>694</v>
      </c>
      <c r="AV219" s="45">
        <f>AW219+AX219</f>
        <v>0</v>
      </c>
      <c r="AW219" s="45">
        <f>F219*AO219</f>
        <v>0</v>
      </c>
      <c r="AX219" s="45">
        <f>F219*AP219</f>
        <v>0</v>
      </c>
      <c r="AY219" s="28" t="s">
        <v>571</v>
      </c>
      <c r="AZ219" s="28" t="s">
        <v>385</v>
      </c>
      <c r="BA219" s="22" t="s">
        <v>544</v>
      </c>
      <c r="BC219" s="45">
        <f>AW219+AX219</f>
        <v>0</v>
      </c>
      <c r="BD219" s="45">
        <f>G219/(100-BE219)*100</f>
        <v>0</v>
      </c>
      <c r="BE219" s="45">
        <v>0</v>
      </c>
      <c r="BF219" s="45">
        <f>219</f>
        <v>219</v>
      </c>
      <c r="BH219" s="45">
        <f>F219*AO219</f>
        <v>0</v>
      </c>
      <c r="BI219" s="45">
        <f>F219*AP219</f>
        <v>0</v>
      </c>
      <c r="BJ219" s="45">
        <f>F219*G219</f>
        <v>0</v>
      </c>
      <c r="BK219" s="45"/>
      <c r="BL219" s="45">
        <v>764</v>
      </c>
      <c r="BW219" s="45">
        <v>21</v>
      </c>
    </row>
    <row r="220" spans="1:75" ht="15" customHeight="1">
      <c r="A220" s="49"/>
      <c r="C220" s="12" t="s">
        <v>226</v>
      </c>
      <c r="D220" s="12" t="s">
        <v>495</v>
      </c>
      <c r="F220" s="47">
        <v>68</v>
      </c>
      <c r="K220" s="16"/>
    </row>
    <row r="221" spans="1:75" ht="13.5" customHeight="1">
      <c r="A221" s="15" t="s">
        <v>650</v>
      </c>
      <c r="B221" s="4" t="s">
        <v>213</v>
      </c>
      <c r="C221" s="66" t="s">
        <v>647</v>
      </c>
      <c r="D221" s="63"/>
      <c r="E221" s="4" t="s">
        <v>168</v>
      </c>
      <c r="F221" s="45">
        <v>65</v>
      </c>
      <c r="G221" s="45">
        <v>0</v>
      </c>
      <c r="H221" s="45">
        <f>F221*AO221</f>
        <v>0</v>
      </c>
      <c r="I221" s="45">
        <f>F221*AP221</f>
        <v>0</v>
      </c>
      <c r="J221" s="45">
        <f>F221*G221</f>
        <v>0</v>
      </c>
      <c r="K221" s="43" t="s">
        <v>319</v>
      </c>
      <c r="Z221" s="45">
        <f>IF(AQ221="5",BJ221,0)</f>
        <v>0</v>
      </c>
      <c r="AB221" s="45">
        <f>IF(AQ221="1",BH221,0)</f>
        <v>0</v>
      </c>
      <c r="AC221" s="45">
        <f>IF(AQ221="1",BI221,0)</f>
        <v>0</v>
      </c>
      <c r="AD221" s="45">
        <f>IF(AQ221="7",BH221,0)</f>
        <v>0</v>
      </c>
      <c r="AE221" s="45">
        <f>IF(AQ221="7",BI221,0)</f>
        <v>0</v>
      </c>
      <c r="AF221" s="45">
        <f>IF(AQ221="2",BH221,0)</f>
        <v>0</v>
      </c>
      <c r="AG221" s="45">
        <f>IF(AQ221="2",BI221,0)</f>
        <v>0</v>
      </c>
      <c r="AH221" s="45">
        <f>IF(AQ221="0",BJ221,0)</f>
        <v>0</v>
      </c>
      <c r="AI221" s="22" t="s">
        <v>495</v>
      </c>
      <c r="AJ221" s="45">
        <f>IF(AN221=0,J221,0)</f>
        <v>0</v>
      </c>
      <c r="AK221" s="45">
        <f>IF(AN221=12,J221,0)</f>
        <v>0</v>
      </c>
      <c r="AL221" s="45">
        <f>IF(AN221=21,J221,0)</f>
        <v>0</v>
      </c>
      <c r="AN221" s="45">
        <v>21</v>
      </c>
      <c r="AO221" s="45">
        <f>G221*1</f>
        <v>0</v>
      </c>
      <c r="AP221" s="45">
        <f>G221*(1-1)</f>
        <v>0</v>
      </c>
      <c r="AQ221" s="28" t="s">
        <v>694</v>
      </c>
      <c r="AV221" s="45">
        <f>AW221+AX221</f>
        <v>0</v>
      </c>
      <c r="AW221" s="45">
        <f>F221*AO221</f>
        <v>0</v>
      </c>
      <c r="AX221" s="45">
        <f>F221*AP221</f>
        <v>0</v>
      </c>
      <c r="AY221" s="28" t="s">
        <v>571</v>
      </c>
      <c r="AZ221" s="28" t="s">
        <v>385</v>
      </c>
      <c r="BA221" s="22" t="s">
        <v>544</v>
      </c>
      <c r="BC221" s="45">
        <f>AW221+AX221</f>
        <v>0</v>
      </c>
      <c r="BD221" s="45">
        <f>G221/(100-BE221)*100</f>
        <v>0</v>
      </c>
      <c r="BE221" s="45">
        <v>0</v>
      </c>
      <c r="BF221" s="45">
        <f>221</f>
        <v>221</v>
      </c>
      <c r="BH221" s="45">
        <f>F221*AO221</f>
        <v>0</v>
      </c>
      <c r="BI221" s="45">
        <f>F221*AP221</f>
        <v>0</v>
      </c>
      <c r="BJ221" s="45">
        <f>F221*G221</f>
        <v>0</v>
      </c>
      <c r="BK221" s="45"/>
      <c r="BL221" s="45">
        <v>764</v>
      </c>
      <c r="BW221" s="45">
        <v>21</v>
      </c>
    </row>
    <row r="222" spans="1:75" ht="15" customHeight="1">
      <c r="A222" s="49"/>
      <c r="C222" s="12" t="s">
        <v>427</v>
      </c>
      <c r="D222" s="12" t="s">
        <v>495</v>
      </c>
      <c r="F222" s="47">
        <v>65</v>
      </c>
      <c r="K222" s="16"/>
    </row>
    <row r="223" spans="1:75" ht="13.5" customHeight="1">
      <c r="A223" s="15" t="s">
        <v>481</v>
      </c>
      <c r="B223" s="4" t="s">
        <v>213</v>
      </c>
      <c r="C223" s="66" t="s">
        <v>637</v>
      </c>
      <c r="D223" s="63"/>
      <c r="E223" s="4" t="s">
        <v>168</v>
      </c>
      <c r="F223" s="45">
        <v>3</v>
      </c>
      <c r="G223" s="45">
        <v>0</v>
      </c>
      <c r="H223" s="45">
        <f>F223*AO223</f>
        <v>0</v>
      </c>
      <c r="I223" s="45">
        <f>F223*AP223</f>
        <v>0</v>
      </c>
      <c r="J223" s="45">
        <f>F223*G223</f>
        <v>0</v>
      </c>
      <c r="K223" s="43" t="s">
        <v>319</v>
      </c>
      <c r="Z223" s="45">
        <f>IF(AQ223="5",BJ223,0)</f>
        <v>0</v>
      </c>
      <c r="AB223" s="45">
        <f>IF(AQ223="1",BH223,0)</f>
        <v>0</v>
      </c>
      <c r="AC223" s="45">
        <f>IF(AQ223="1",BI223,0)</f>
        <v>0</v>
      </c>
      <c r="AD223" s="45">
        <f>IF(AQ223="7",BH223,0)</f>
        <v>0</v>
      </c>
      <c r="AE223" s="45">
        <f>IF(AQ223="7",BI223,0)</f>
        <v>0</v>
      </c>
      <c r="AF223" s="45">
        <f>IF(AQ223="2",BH223,0)</f>
        <v>0</v>
      </c>
      <c r="AG223" s="45">
        <f>IF(AQ223="2",BI223,0)</f>
        <v>0</v>
      </c>
      <c r="AH223" s="45">
        <f>IF(AQ223="0",BJ223,0)</f>
        <v>0</v>
      </c>
      <c r="AI223" s="22" t="s">
        <v>495</v>
      </c>
      <c r="AJ223" s="45">
        <f>IF(AN223=0,J223,0)</f>
        <v>0</v>
      </c>
      <c r="AK223" s="45">
        <f>IF(AN223=12,J223,0)</f>
        <v>0</v>
      </c>
      <c r="AL223" s="45">
        <f>IF(AN223=21,J223,0)</f>
        <v>0</v>
      </c>
      <c r="AN223" s="45">
        <v>21</v>
      </c>
      <c r="AO223" s="45">
        <f>G223*1</f>
        <v>0</v>
      </c>
      <c r="AP223" s="45">
        <f>G223*(1-1)</f>
        <v>0</v>
      </c>
      <c r="AQ223" s="28" t="s">
        <v>694</v>
      </c>
      <c r="AV223" s="45">
        <f>AW223+AX223</f>
        <v>0</v>
      </c>
      <c r="AW223" s="45">
        <f>F223*AO223</f>
        <v>0</v>
      </c>
      <c r="AX223" s="45">
        <f>F223*AP223</f>
        <v>0</v>
      </c>
      <c r="AY223" s="28" t="s">
        <v>571</v>
      </c>
      <c r="AZ223" s="28" t="s">
        <v>385</v>
      </c>
      <c r="BA223" s="22" t="s">
        <v>544</v>
      </c>
      <c r="BC223" s="45">
        <f>AW223+AX223</f>
        <v>0</v>
      </c>
      <c r="BD223" s="45">
        <f>G223/(100-BE223)*100</f>
        <v>0</v>
      </c>
      <c r="BE223" s="45">
        <v>0</v>
      </c>
      <c r="BF223" s="45">
        <f>223</f>
        <v>223</v>
      </c>
      <c r="BH223" s="45">
        <f>F223*AO223</f>
        <v>0</v>
      </c>
      <c r="BI223" s="45">
        <f>F223*AP223</f>
        <v>0</v>
      </c>
      <c r="BJ223" s="45">
        <f>F223*G223</f>
        <v>0</v>
      </c>
      <c r="BK223" s="45"/>
      <c r="BL223" s="45">
        <v>764</v>
      </c>
      <c r="BW223" s="45">
        <v>21</v>
      </c>
    </row>
    <row r="224" spans="1:75" ht="15" customHeight="1">
      <c r="A224" s="49"/>
      <c r="C224" s="12" t="s">
        <v>88</v>
      </c>
      <c r="D224" s="12" t="s">
        <v>495</v>
      </c>
      <c r="F224" s="47">
        <v>3.0000000000000004</v>
      </c>
      <c r="K224" s="16"/>
    </row>
    <row r="225" spans="1:75" ht="15" customHeight="1">
      <c r="A225" s="42" t="s">
        <v>495</v>
      </c>
      <c r="B225" s="39" t="s">
        <v>291</v>
      </c>
      <c r="C225" s="79" t="s">
        <v>339</v>
      </c>
      <c r="D225" s="80"/>
      <c r="E225" s="27" t="s">
        <v>653</v>
      </c>
      <c r="F225" s="27" t="s">
        <v>653</v>
      </c>
      <c r="G225" s="27" t="s">
        <v>653</v>
      </c>
      <c r="H225" s="11">
        <f>SUM(H226:H249)</f>
        <v>0</v>
      </c>
      <c r="I225" s="11">
        <f>SUM(I226:I249)</f>
        <v>0</v>
      </c>
      <c r="J225" s="11">
        <f>SUM(J226:J249)</f>
        <v>0</v>
      </c>
      <c r="K225" s="50" t="s">
        <v>495</v>
      </c>
      <c r="AI225" s="22" t="s">
        <v>495</v>
      </c>
      <c r="AS225" s="11">
        <f>SUM(AJ226:AJ249)</f>
        <v>0</v>
      </c>
      <c r="AT225" s="11">
        <f>SUM(AK226:AK249)</f>
        <v>0</v>
      </c>
      <c r="AU225" s="11">
        <f>SUM(AL226:AL249)</f>
        <v>0</v>
      </c>
    </row>
    <row r="226" spans="1:75" ht="13.5" customHeight="1">
      <c r="A226" s="15" t="s">
        <v>368</v>
      </c>
      <c r="B226" s="4" t="s">
        <v>533</v>
      </c>
      <c r="C226" s="66" t="s">
        <v>583</v>
      </c>
      <c r="D226" s="63"/>
      <c r="E226" s="4" t="s">
        <v>168</v>
      </c>
      <c r="F226" s="45">
        <v>2</v>
      </c>
      <c r="G226" s="45">
        <v>0</v>
      </c>
      <c r="H226" s="45">
        <f>F226*AO226</f>
        <v>0</v>
      </c>
      <c r="I226" s="45">
        <f>F226*AP226</f>
        <v>0</v>
      </c>
      <c r="J226" s="45">
        <f>F226*G226</f>
        <v>0</v>
      </c>
      <c r="K226" s="43" t="s">
        <v>319</v>
      </c>
      <c r="Z226" s="45">
        <f>IF(AQ226="5",BJ226,0)</f>
        <v>0</v>
      </c>
      <c r="AB226" s="45">
        <f>IF(AQ226="1",BH226,0)</f>
        <v>0</v>
      </c>
      <c r="AC226" s="45">
        <f>IF(AQ226="1",BI226,0)</f>
        <v>0</v>
      </c>
      <c r="AD226" s="45">
        <f>IF(AQ226="7",BH226,0)</f>
        <v>0</v>
      </c>
      <c r="AE226" s="45">
        <f>IF(AQ226="7",BI226,0)</f>
        <v>0</v>
      </c>
      <c r="AF226" s="45">
        <f>IF(AQ226="2",BH226,0)</f>
        <v>0</v>
      </c>
      <c r="AG226" s="45">
        <f>IF(AQ226="2",BI226,0)</f>
        <v>0</v>
      </c>
      <c r="AH226" s="45">
        <f>IF(AQ226="0",BJ226,0)</f>
        <v>0</v>
      </c>
      <c r="AI226" s="22" t="s">
        <v>495</v>
      </c>
      <c r="AJ226" s="45">
        <f>IF(AN226=0,J226,0)</f>
        <v>0</v>
      </c>
      <c r="AK226" s="45">
        <f>IF(AN226=12,J226,0)</f>
        <v>0</v>
      </c>
      <c r="AL226" s="45">
        <f>IF(AN226=21,J226,0)</f>
        <v>0</v>
      </c>
      <c r="AN226" s="45">
        <v>21</v>
      </c>
      <c r="AO226" s="45">
        <f>G226*0.0949190151896702</f>
        <v>0</v>
      </c>
      <c r="AP226" s="45">
        <f>G226*(1-0.0949190151896702)</f>
        <v>0</v>
      </c>
      <c r="AQ226" s="28" t="s">
        <v>694</v>
      </c>
      <c r="AV226" s="45">
        <f>AW226+AX226</f>
        <v>0</v>
      </c>
      <c r="AW226" s="45">
        <f>F226*AO226</f>
        <v>0</v>
      </c>
      <c r="AX226" s="45">
        <f>F226*AP226</f>
        <v>0</v>
      </c>
      <c r="AY226" s="28" t="s">
        <v>59</v>
      </c>
      <c r="AZ226" s="28" t="s">
        <v>385</v>
      </c>
      <c r="BA226" s="22" t="s">
        <v>544</v>
      </c>
      <c r="BC226" s="45">
        <f>AW226+AX226</f>
        <v>0</v>
      </c>
      <c r="BD226" s="45">
        <f>G226/(100-BE226)*100</f>
        <v>0</v>
      </c>
      <c r="BE226" s="45">
        <v>0</v>
      </c>
      <c r="BF226" s="45">
        <f>226</f>
        <v>226</v>
      </c>
      <c r="BH226" s="45">
        <f>F226*AO226</f>
        <v>0</v>
      </c>
      <c r="BI226" s="45">
        <f>F226*AP226</f>
        <v>0</v>
      </c>
      <c r="BJ226" s="45">
        <f>F226*G226</f>
        <v>0</v>
      </c>
      <c r="BK226" s="45"/>
      <c r="BL226" s="45">
        <v>766</v>
      </c>
      <c r="BW226" s="45">
        <v>21</v>
      </c>
    </row>
    <row r="227" spans="1:75" ht="15" customHeight="1">
      <c r="A227" s="49"/>
      <c r="C227" s="12" t="s">
        <v>679</v>
      </c>
      <c r="D227" s="12" t="s">
        <v>495</v>
      </c>
      <c r="F227" s="47">
        <v>1</v>
      </c>
      <c r="K227" s="16"/>
    </row>
    <row r="228" spans="1:75" ht="15" customHeight="1">
      <c r="A228" s="49"/>
      <c r="C228" s="12" t="s">
        <v>228</v>
      </c>
      <c r="D228" s="12" t="s">
        <v>495</v>
      </c>
      <c r="F228" s="47">
        <v>1</v>
      </c>
      <c r="K228" s="16"/>
    </row>
    <row r="229" spans="1:75" ht="13.5" customHeight="1">
      <c r="A229" s="15" t="s">
        <v>156</v>
      </c>
      <c r="B229" s="4" t="s">
        <v>520</v>
      </c>
      <c r="C229" s="66" t="s">
        <v>324</v>
      </c>
      <c r="D229" s="63"/>
      <c r="E229" s="4" t="s">
        <v>168</v>
      </c>
      <c r="F229" s="45">
        <v>10</v>
      </c>
      <c r="G229" s="45">
        <v>0</v>
      </c>
      <c r="H229" s="45">
        <f>F229*AO229</f>
        <v>0</v>
      </c>
      <c r="I229" s="45">
        <f>F229*AP229</f>
        <v>0</v>
      </c>
      <c r="J229" s="45">
        <f>F229*G229</f>
        <v>0</v>
      </c>
      <c r="K229" s="43" t="s">
        <v>495</v>
      </c>
      <c r="Z229" s="45">
        <f>IF(AQ229="5",BJ229,0)</f>
        <v>0</v>
      </c>
      <c r="AB229" s="45">
        <f>IF(AQ229="1",BH229,0)</f>
        <v>0</v>
      </c>
      <c r="AC229" s="45">
        <f>IF(AQ229="1",BI229,0)</f>
        <v>0</v>
      </c>
      <c r="AD229" s="45">
        <f>IF(AQ229="7",BH229,0)</f>
        <v>0</v>
      </c>
      <c r="AE229" s="45">
        <f>IF(AQ229="7",BI229,0)</f>
        <v>0</v>
      </c>
      <c r="AF229" s="45">
        <f>IF(AQ229="2",BH229,0)</f>
        <v>0</v>
      </c>
      <c r="AG229" s="45">
        <f>IF(AQ229="2",BI229,0)</f>
        <v>0</v>
      </c>
      <c r="AH229" s="45">
        <f>IF(AQ229="0",BJ229,0)</f>
        <v>0</v>
      </c>
      <c r="AI229" s="22" t="s">
        <v>495</v>
      </c>
      <c r="AJ229" s="45">
        <f>IF(AN229=0,J229,0)</f>
        <v>0</v>
      </c>
      <c r="AK229" s="45">
        <f>IF(AN229=12,J229,0)</f>
        <v>0</v>
      </c>
      <c r="AL229" s="45">
        <f>IF(AN229=21,J229,0)</f>
        <v>0</v>
      </c>
      <c r="AN229" s="45">
        <v>21</v>
      </c>
      <c r="AO229" s="45">
        <f>G229*1</f>
        <v>0</v>
      </c>
      <c r="AP229" s="45">
        <f>G229*(1-1)</f>
        <v>0</v>
      </c>
      <c r="AQ229" s="28" t="s">
        <v>694</v>
      </c>
      <c r="AV229" s="45">
        <f>AW229+AX229</f>
        <v>0</v>
      </c>
      <c r="AW229" s="45">
        <f>F229*AO229</f>
        <v>0</v>
      </c>
      <c r="AX229" s="45">
        <f>F229*AP229</f>
        <v>0</v>
      </c>
      <c r="AY229" s="28" t="s">
        <v>59</v>
      </c>
      <c r="AZ229" s="28" t="s">
        <v>385</v>
      </c>
      <c r="BA229" s="22" t="s">
        <v>544</v>
      </c>
      <c r="BC229" s="45">
        <f>AW229+AX229</f>
        <v>0</v>
      </c>
      <c r="BD229" s="45">
        <f>G229/(100-BE229)*100</f>
        <v>0</v>
      </c>
      <c r="BE229" s="45">
        <v>0</v>
      </c>
      <c r="BF229" s="45">
        <f>229</f>
        <v>229</v>
      </c>
      <c r="BH229" s="45">
        <f>F229*AO229</f>
        <v>0</v>
      </c>
      <c r="BI229" s="45">
        <f>F229*AP229</f>
        <v>0</v>
      </c>
      <c r="BJ229" s="45">
        <f>F229*G229</f>
        <v>0</v>
      </c>
      <c r="BK229" s="45"/>
      <c r="BL229" s="45">
        <v>766</v>
      </c>
      <c r="BW229" s="45">
        <v>21</v>
      </c>
    </row>
    <row r="230" spans="1:75" ht="15" customHeight="1">
      <c r="A230" s="49"/>
      <c r="C230" s="12" t="s">
        <v>756</v>
      </c>
      <c r="D230" s="12" t="s">
        <v>495</v>
      </c>
      <c r="F230" s="47">
        <v>10</v>
      </c>
      <c r="K230" s="16"/>
    </row>
    <row r="231" spans="1:75" ht="13.5" customHeight="1">
      <c r="A231" s="15" t="s">
        <v>45</v>
      </c>
      <c r="B231" s="4" t="s">
        <v>8</v>
      </c>
      <c r="C231" s="66" t="s">
        <v>515</v>
      </c>
      <c r="D231" s="63"/>
      <c r="E231" s="4" t="s">
        <v>168</v>
      </c>
      <c r="F231" s="45">
        <v>1</v>
      </c>
      <c r="G231" s="45">
        <v>0</v>
      </c>
      <c r="H231" s="45">
        <f>F231*AO231</f>
        <v>0</v>
      </c>
      <c r="I231" s="45">
        <f>F231*AP231</f>
        <v>0</v>
      </c>
      <c r="J231" s="45">
        <f>F231*G231</f>
        <v>0</v>
      </c>
      <c r="K231" s="43" t="s">
        <v>495</v>
      </c>
      <c r="Z231" s="45">
        <f>IF(AQ231="5",BJ231,0)</f>
        <v>0</v>
      </c>
      <c r="AB231" s="45">
        <f>IF(AQ231="1",BH231,0)</f>
        <v>0</v>
      </c>
      <c r="AC231" s="45">
        <f>IF(AQ231="1",BI231,0)</f>
        <v>0</v>
      </c>
      <c r="AD231" s="45">
        <f>IF(AQ231="7",BH231,0)</f>
        <v>0</v>
      </c>
      <c r="AE231" s="45">
        <f>IF(AQ231="7",BI231,0)</f>
        <v>0</v>
      </c>
      <c r="AF231" s="45">
        <f>IF(AQ231="2",BH231,0)</f>
        <v>0</v>
      </c>
      <c r="AG231" s="45">
        <f>IF(AQ231="2",BI231,0)</f>
        <v>0</v>
      </c>
      <c r="AH231" s="45">
        <f>IF(AQ231="0",BJ231,0)</f>
        <v>0</v>
      </c>
      <c r="AI231" s="22" t="s">
        <v>495</v>
      </c>
      <c r="AJ231" s="45">
        <f>IF(AN231=0,J231,0)</f>
        <v>0</v>
      </c>
      <c r="AK231" s="45">
        <f>IF(AN231=12,J231,0)</f>
        <v>0</v>
      </c>
      <c r="AL231" s="45">
        <f>IF(AN231=21,J231,0)</f>
        <v>0</v>
      </c>
      <c r="AN231" s="45">
        <v>21</v>
      </c>
      <c r="AO231" s="45">
        <f>G231*1</f>
        <v>0</v>
      </c>
      <c r="AP231" s="45">
        <f>G231*(1-1)</f>
        <v>0</v>
      </c>
      <c r="AQ231" s="28" t="s">
        <v>694</v>
      </c>
      <c r="AV231" s="45">
        <f>AW231+AX231</f>
        <v>0</v>
      </c>
      <c r="AW231" s="45">
        <f>F231*AO231</f>
        <v>0</v>
      </c>
      <c r="AX231" s="45">
        <f>F231*AP231</f>
        <v>0</v>
      </c>
      <c r="AY231" s="28" t="s">
        <v>59</v>
      </c>
      <c r="AZ231" s="28" t="s">
        <v>385</v>
      </c>
      <c r="BA231" s="22" t="s">
        <v>544</v>
      </c>
      <c r="BC231" s="45">
        <f>AW231+AX231</f>
        <v>0</v>
      </c>
      <c r="BD231" s="45">
        <f>G231/(100-BE231)*100</f>
        <v>0</v>
      </c>
      <c r="BE231" s="45">
        <v>0</v>
      </c>
      <c r="BF231" s="45">
        <f>231</f>
        <v>231</v>
      </c>
      <c r="BH231" s="45">
        <f>F231*AO231</f>
        <v>0</v>
      </c>
      <c r="BI231" s="45">
        <f>F231*AP231</f>
        <v>0</v>
      </c>
      <c r="BJ231" s="45">
        <f>F231*G231</f>
        <v>0</v>
      </c>
      <c r="BK231" s="45"/>
      <c r="BL231" s="45">
        <v>766</v>
      </c>
      <c r="BW231" s="45">
        <v>21</v>
      </c>
    </row>
    <row r="232" spans="1:75" ht="15" customHeight="1">
      <c r="A232" s="49"/>
      <c r="C232" s="12" t="s">
        <v>679</v>
      </c>
      <c r="D232" s="12" t="s">
        <v>495</v>
      </c>
      <c r="F232" s="47">
        <v>1</v>
      </c>
      <c r="K232" s="16"/>
    </row>
    <row r="233" spans="1:75" ht="13.5" customHeight="1">
      <c r="A233" s="15" t="s">
        <v>684</v>
      </c>
      <c r="B233" s="4" t="s">
        <v>387</v>
      </c>
      <c r="C233" s="66" t="s">
        <v>440</v>
      </c>
      <c r="D233" s="63"/>
      <c r="E233" s="4" t="s">
        <v>168</v>
      </c>
      <c r="F233" s="45">
        <v>1</v>
      </c>
      <c r="G233" s="45">
        <v>0</v>
      </c>
      <c r="H233" s="45">
        <f>F233*AO233</f>
        <v>0</v>
      </c>
      <c r="I233" s="45">
        <f>F233*AP233</f>
        <v>0</v>
      </c>
      <c r="J233" s="45">
        <f>F233*G233</f>
        <v>0</v>
      </c>
      <c r="K233" s="43" t="s">
        <v>495</v>
      </c>
      <c r="Z233" s="45">
        <f>IF(AQ233="5",BJ233,0)</f>
        <v>0</v>
      </c>
      <c r="AB233" s="45">
        <f>IF(AQ233="1",BH233,0)</f>
        <v>0</v>
      </c>
      <c r="AC233" s="45">
        <f>IF(AQ233="1",BI233,0)</f>
        <v>0</v>
      </c>
      <c r="AD233" s="45">
        <f>IF(AQ233="7",BH233,0)</f>
        <v>0</v>
      </c>
      <c r="AE233" s="45">
        <f>IF(AQ233="7",BI233,0)</f>
        <v>0</v>
      </c>
      <c r="AF233" s="45">
        <f>IF(AQ233="2",BH233,0)</f>
        <v>0</v>
      </c>
      <c r="AG233" s="45">
        <f>IF(AQ233="2",BI233,0)</f>
        <v>0</v>
      </c>
      <c r="AH233" s="45">
        <f>IF(AQ233="0",BJ233,0)</f>
        <v>0</v>
      </c>
      <c r="AI233" s="22" t="s">
        <v>495</v>
      </c>
      <c r="AJ233" s="45">
        <f>IF(AN233=0,J233,0)</f>
        <v>0</v>
      </c>
      <c r="AK233" s="45">
        <f>IF(AN233=12,J233,0)</f>
        <v>0</v>
      </c>
      <c r="AL233" s="45">
        <f>IF(AN233=21,J233,0)</f>
        <v>0</v>
      </c>
      <c r="AN233" s="45">
        <v>21</v>
      </c>
      <c r="AO233" s="45">
        <f>G233*1</f>
        <v>0</v>
      </c>
      <c r="AP233" s="45">
        <f>G233*(1-1)</f>
        <v>0</v>
      </c>
      <c r="AQ233" s="28" t="s">
        <v>694</v>
      </c>
      <c r="AV233" s="45">
        <f>AW233+AX233</f>
        <v>0</v>
      </c>
      <c r="AW233" s="45">
        <f>F233*AO233</f>
        <v>0</v>
      </c>
      <c r="AX233" s="45">
        <f>F233*AP233</f>
        <v>0</v>
      </c>
      <c r="AY233" s="28" t="s">
        <v>59</v>
      </c>
      <c r="AZ233" s="28" t="s">
        <v>385</v>
      </c>
      <c r="BA233" s="22" t="s">
        <v>544</v>
      </c>
      <c r="BC233" s="45">
        <f>AW233+AX233</f>
        <v>0</v>
      </c>
      <c r="BD233" s="45">
        <f>G233/(100-BE233)*100</f>
        <v>0</v>
      </c>
      <c r="BE233" s="45">
        <v>0</v>
      </c>
      <c r="BF233" s="45">
        <f>233</f>
        <v>233</v>
      </c>
      <c r="BH233" s="45">
        <f>F233*AO233</f>
        <v>0</v>
      </c>
      <c r="BI233" s="45">
        <f>F233*AP233</f>
        <v>0</v>
      </c>
      <c r="BJ233" s="45">
        <f>F233*G233</f>
        <v>0</v>
      </c>
      <c r="BK233" s="45"/>
      <c r="BL233" s="45">
        <v>766</v>
      </c>
      <c r="BW233" s="45">
        <v>21</v>
      </c>
    </row>
    <row r="234" spans="1:75" ht="15" customHeight="1">
      <c r="A234" s="49"/>
      <c r="C234" s="12" t="s">
        <v>228</v>
      </c>
      <c r="D234" s="12" t="s">
        <v>495</v>
      </c>
      <c r="F234" s="47">
        <v>1</v>
      </c>
      <c r="K234" s="16"/>
    </row>
    <row r="235" spans="1:75" ht="13.5" customHeight="1">
      <c r="A235" s="15" t="s">
        <v>113</v>
      </c>
      <c r="B235" s="4" t="s">
        <v>619</v>
      </c>
      <c r="C235" s="66" t="s">
        <v>145</v>
      </c>
      <c r="D235" s="63"/>
      <c r="E235" s="4" t="s">
        <v>168</v>
      </c>
      <c r="F235" s="45">
        <v>2</v>
      </c>
      <c r="G235" s="45">
        <v>0</v>
      </c>
      <c r="H235" s="45">
        <f>F235*AO235</f>
        <v>0</v>
      </c>
      <c r="I235" s="45">
        <f>F235*AP235</f>
        <v>0</v>
      </c>
      <c r="J235" s="45">
        <f>F235*G235</f>
        <v>0</v>
      </c>
      <c r="K235" s="43" t="s">
        <v>319</v>
      </c>
      <c r="Z235" s="45">
        <f>IF(AQ235="5",BJ235,0)</f>
        <v>0</v>
      </c>
      <c r="AB235" s="45">
        <f>IF(AQ235="1",BH235,0)</f>
        <v>0</v>
      </c>
      <c r="AC235" s="45">
        <f>IF(AQ235="1",BI235,0)</f>
        <v>0</v>
      </c>
      <c r="AD235" s="45">
        <f>IF(AQ235="7",BH235,0)</f>
        <v>0</v>
      </c>
      <c r="AE235" s="45">
        <f>IF(AQ235="7",BI235,0)</f>
        <v>0</v>
      </c>
      <c r="AF235" s="45">
        <f>IF(AQ235="2",BH235,0)</f>
        <v>0</v>
      </c>
      <c r="AG235" s="45">
        <f>IF(AQ235="2",BI235,0)</f>
        <v>0</v>
      </c>
      <c r="AH235" s="45">
        <f>IF(AQ235="0",BJ235,0)</f>
        <v>0</v>
      </c>
      <c r="AI235" s="22" t="s">
        <v>495</v>
      </c>
      <c r="AJ235" s="45">
        <f>IF(AN235=0,J235,0)</f>
        <v>0</v>
      </c>
      <c r="AK235" s="45">
        <f>IF(AN235=12,J235,0)</f>
        <v>0</v>
      </c>
      <c r="AL235" s="45">
        <f>IF(AN235=21,J235,0)</f>
        <v>0</v>
      </c>
      <c r="AN235" s="45">
        <v>21</v>
      </c>
      <c r="AO235" s="45">
        <f>G235*0.144127551020408</f>
        <v>0</v>
      </c>
      <c r="AP235" s="45">
        <f>G235*(1-0.144127551020408)</f>
        <v>0</v>
      </c>
      <c r="AQ235" s="28" t="s">
        <v>694</v>
      </c>
      <c r="AV235" s="45">
        <f>AW235+AX235</f>
        <v>0</v>
      </c>
      <c r="AW235" s="45">
        <f>F235*AO235</f>
        <v>0</v>
      </c>
      <c r="AX235" s="45">
        <f>F235*AP235</f>
        <v>0</v>
      </c>
      <c r="AY235" s="28" t="s">
        <v>59</v>
      </c>
      <c r="AZ235" s="28" t="s">
        <v>385</v>
      </c>
      <c r="BA235" s="22" t="s">
        <v>544</v>
      </c>
      <c r="BC235" s="45">
        <f>AW235+AX235</f>
        <v>0</v>
      </c>
      <c r="BD235" s="45">
        <f>G235/(100-BE235)*100</f>
        <v>0</v>
      </c>
      <c r="BE235" s="45">
        <v>0</v>
      </c>
      <c r="BF235" s="45">
        <f>235</f>
        <v>235</v>
      </c>
      <c r="BH235" s="45">
        <f>F235*AO235</f>
        <v>0</v>
      </c>
      <c r="BI235" s="45">
        <f>F235*AP235</f>
        <v>0</v>
      </c>
      <c r="BJ235" s="45">
        <f>F235*G235</f>
        <v>0</v>
      </c>
      <c r="BK235" s="45"/>
      <c r="BL235" s="45">
        <v>766</v>
      </c>
      <c r="BW235" s="45">
        <v>21</v>
      </c>
    </row>
    <row r="236" spans="1:75" ht="15" customHeight="1">
      <c r="A236" s="49"/>
      <c r="C236" s="12" t="s">
        <v>724</v>
      </c>
      <c r="D236" s="12" t="s">
        <v>495</v>
      </c>
      <c r="F236" s="47">
        <v>2</v>
      </c>
      <c r="K236" s="16"/>
    </row>
    <row r="237" spans="1:75" ht="13.5" customHeight="1">
      <c r="A237" s="15" t="s">
        <v>125</v>
      </c>
      <c r="B237" s="4" t="s">
        <v>136</v>
      </c>
      <c r="C237" s="66" t="s">
        <v>727</v>
      </c>
      <c r="D237" s="63"/>
      <c r="E237" s="4" t="s">
        <v>168</v>
      </c>
      <c r="F237" s="45">
        <v>2</v>
      </c>
      <c r="G237" s="45">
        <v>0</v>
      </c>
      <c r="H237" s="45">
        <f>F237*AO237</f>
        <v>0</v>
      </c>
      <c r="I237" s="45">
        <f>F237*AP237</f>
        <v>0</v>
      </c>
      <c r="J237" s="45">
        <f>F237*G237</f>
        <v>0</v>
      </c>
      <c r="K237" s="43" t="s">
        <v>495</v>
      </c>
      <c r="Z237" s="45">
        <f>IF(AQ237="5",BJ237,0)</f>
        <v>0</v>
      </c>
      <c r="AB237" s="45">
        <f>IF(AQ237="1",BH237,0)</f>
        <v>0</v>
      </c>
      <c r="AC237" s="45">
        <f>IF(AQ237="1",BI237,0)</f>
        <v>0</v>
      </c>
      <c r="AD237" s="45">
        <f>IF(AQ237="7",BH237,0)</f>
        <v>0</v>
      </c>
      <c r="AE237" s="45">
        <f>IF(AQ237="7",BI237,0)</f>
        <v>0</v>
      </c>
      <c r="AF237" s="45">
        <f>IF(AQ237="2",BH237,0)</f>
        <v>0</v>
      </c>
      <c r="AG237" s="45">
        <f>IF(AQ237="2",BI237,0)</f>
        <v>0</v>
      </c>
      <c r="AH237" s="45">
        <f>IF(AQ237="0",BJ237,0)</f>
        <v>0</v>
      </c>
      <c r="AI237" s="22" t="s">
        <v>495</v>
      </c>
      <c r="AJ237" s="45">
        <f>IF(AN237=0,J237,0)</f>
        <v>0</v>
      </c>
      <c r="AK237" s="45">
        <f>IF(AN237=12,J237,0)</f>
        <v>0</v>
      </c>
      <c r="AL237" s="45">
        <f>IF(AN237=21,J237,0)</f>
        <v>0</v>
      </c>
      <c r="AN237" s="45">
        <v>21</v>
      </c>
      <c r="AO237" s="45">
        <f>G237*1</f>
        <v>0</v>
      </c>
      <c r="AP237" s="45">
        <f>G237*(1-1)</f>
        <v>0</v>
      </c>
      <c r="AQ237" s="28" t="s">
        <v>694</v>
      </c>
      <c r="AV237" s="45">
        <f>AW237+AX237</f>
        <v>0</v>
      </c>
      <c r="AW237" s="45">
        <f>F237*AO237</f>
        <v>0</v>
      </c>
      <c r="AX237" s="45">
        <f>F237*AP237</f>
        <v>0</v>
      </c>
      <c r="AY237" s="28" t="s">
        <v>59</v>
      </c>
      <c r="AZ237" s="28" t="s">
        <v>385</v>
      </c>
      <c r="BA237" s="22" t="s">
        <v>544</v>
      </c>
      <c r="BC237" s="45">
        <f>AW237+AX237</f>
        <v>0</v>
      </c>
      <c r="BD237" s="45">
        <f>G237/(100-BE237)*100</f>
        <v>0</v>
      </c>
      <c r="BE237" s="45">
        <v>0</v>
      </c>
      <c r="BF237" s="45">
        <f>237</f>
        <v>237</v>
      </c>
      <c r="BH237" s="45">
        <f>F237*AO237</f>
        <v>0</v>
      </c>
      <c r="BI237" s="45">
        <f>F237*AP237</f>
        <v>0</v>
      </c>
      <c r="BJ237" s="45">
        <f>F237*G237</f>
        <v>0</v>
      </c>
      <c r="BK237" s="45"/>
      <c r="BL237" s="45">
        <v>766</v>
      </c>
      <c r="BW237" s="45">
        <v>21</v>
      </c>
    </row>
    <row r="238" spans="1:75" ht="15" customHeight="1">
      <c r="A238" s="49"/>
      <c r="C238" s="12" t="s">
        <v>724</v>
      </c>
      <c r="D238" s="12" t="s">
        <v>495</v>
      </c>
      <c r="F238" s="47">
        <v>2</v>
      </c>
      <c r="K238" s="16"/>
    </row>
    <row r="239" spans="1:75" ht="13.5" customHeight="1">
      <c r="A239" s="15" t="s">
        <v>706</v>
      </c>
      <c r="B239" s="4" t="s">
        <v>201</v>
      </c>
      <c r="C239" s="66" t="s">
        <v>714</v>
      </c>
      <c r="D239" s="63"/>
      <c r="E239" s="4" t="s">
        <v>168</v>
      </c>
      <c r="F239" s="45">
        <v>9</v>
      </c>
      <c r="G239" s="45">
        <v>0</v>
      </c>
      <c r="H239" s="45">
        <f>F239*AO239</f>
        <v>0</v>
      </c>
      <c r="I239" s="45">
        <f>F239*AP239</f>
        <v>0</v>
      </c>
      <c r="J239" s="45">
        <f>F239*G239</f>
        <v>0</v>
      </c>
      <c r="K239" s="43" t="s">
        <v>319</v>
      </c>
      <c r="Z239" s="45">
        <f>IF(AQ239="5",BJ239,0)</f>
        <v>0</v>
      </c>
      <c r="AB239" s="45">
        <f>IF(AQ239="1",BH239,0)</f>
        <v>0</v>
      </c>
      <c r="AC239" s="45">
        <f>IF(AQ239="1",BI239,0)</f>
        <v>0</v>
      </c>
      <c r="AD239" s="45">
        <f>IF(AQ239="7",BH239,0)</f>
        <v>0</v>
      </c>
      <c r="AE239" s="45">
        <f>IF(AQ239="7",BI239,0)</f>
        <v>0</v>
      </c>
      <c r="AF239" s="45">
        <f>IF(AQ239="2",BH239,0)</f>
        <v>0</v>
      </c>
      <c r="AG239" s="45">
        <f>IF(AQ239="2",BI239,0)</f>
        <v>0</v>
      </c>
      <c r="AH239" s="45">
        <f>IF(AQ239="0",BJ239,0)</f>
        <v>0</v>
      </c>
      <c r="AI239" s="22" t="s">
        <v>495</v>
      </c>
      <c r="AJ239" s="45">
        <f>IF(AN239=0,J239,0)</f>
        <v>0</v>
      </c>
      <c r="AK239" s="45">
        <f>IF(AN239=12,J239,0)</f>
        <v>0</v>
      </c>
      <c r="AL239" s="45">
        <f>IF(AN239=21,J239,0)</f>
        <v>0</v>
      </c>
      <c r="AN239" s="45">
        <v>21</v>
      </c>
      <c r="AO239" s="45">
        <f>G239*0</f>
        <v>0</v>
      </c>
      <c r="AP239" s="45">
        <f>G239*(1-0)</f>
        <v>0</v>
      </c>
      <c r="AQ239" s="28" t="s">
        <v>694</v>
      </c>
      <c r="AV239" s="45">
        <f>AW239+AX239</f>
        <v>0</v>
      </c>
      <c r="AW239" s="45">
        <f>F239*AO239</f>
        <v>0</v>
      </c>
      <c r="AX239" s="45">
        <f>F239*AP239</f>
        <v>0</v>
      </c>
      <c r="AY239" s="28" t="s">
        <v>59</v>
      </c>
      <c r="AZ239" s="28" t="s">
        <v>385</v>
      </c>
      <c r="BA239" s="22" t="s">
        <v>544</v>
      </c>
      <c r="BC239" s="45">
        <f>AW239+AX239</f>
        <v>0</v>
      </c>
      <c r="BD239" s="45">
        <f>G239/(100-BE239)*100</f>
        <v>0</v>
      </c>
      <c r="BE239" s="45">
        <v>0</v>
      </c>
      <c r="BF239" s="45">
        <f>239</f>
        <v>239</v>
      </c>
      <c r="BH239" s="45">
        <f>F239*AO239</f>
        <v>0</v>
      </c>
      <c r="BI239" s="45">
        <f>F239*AP239</f>
        <v>0</v>
      </c>
      <c r="BJ239" s="45">
        <f>F239*G239</f>
        <v>0</v>
      </c>
      <c r="BK239" s="45"/>
      <c r="BL239" s="45">
        <v>766</v>
      </c>
      <c r="BW239" s="45">
        <v>21</v>
      </c>
    </row>
    <row r="240" spans="1:75" ht="15" customHeight="1">
      <c r="A240" s="49"/>
      <c r="C240" s="12" t="s">
        <v>267</v>
      </c>
      <c r="D240" s="12" t="s">
        <v>495</v>
      </c>
      <c r="F240" s="47">
        <v>9</v>
      </c>
      <c r="K240" s="16"/>
    </row>
    <row r="241" spans="1:75" ht="13.5" customHeight="1">
      <c r="A241" s="15" t="s">
        <v>418</v>
      </c>
      <c r="B241" s="4" t="s">
        <v>450</v>
      </c>
      <c r="C241" s="66" t="s">
        <v>506</v>
      </c>
      <c r="D241" s="63"/>
      <c r="E241" s="4" t="s">
        <v>168</v>
      </c>
      <c r="F241" s="45">
        <v>9</v>
      </c>
      <c r="G241" s="45">
        <v>0</v>
      </c>
      <c r="H241" s="45">
        <f>F241*AO241</f>
        <v>0</v>
      </c>
      <c r="I241" s="45">
        <f>F241*AP241</f>
        <v>0</v>
      </c>
      <c r="J241" s="45">
        <f>F241*G241</f>
        <v>0</v>
      </c>
      <c r="K241" s="43" t="s">
        <v>319</v>
      </c>
      <c r="Z241" s="45">
        <f>IF(AQ241="5",BJ241,0)</f>
        <v>0</v>
      </c>
      <c r="AB241" s="45">
        <f>IF(AQ241="1",BH241,0)</f>
        <v>0</v>
      </c>
      <c r="AC241" s="45">
        <f>IF(AQ241="1",BI241,0)</f>
        <v>0</v>
      </c>
      <c r="AD241" s="45">
        <f>IF(AQ241="7",BH241,0)</f>
        <v>0</v>
      </c>
      <c r="AE241" s="45">
        <f>IF(AQ241="7",BI241,0)</f>
        <v>0</v>
      </c>
      <c r="AF241" s="45">
        <f>IF(AQ241="2",BH241,0)</f>
        <v>0</v>
      </c>
      <c r="AG241" s="45">
        <f>IF(AQ241="2",BI241,0)</f>
        <v>0</v>
      </c>
      <c r="AH241" s="45">
        <f>IF(AQ241="0",BJ241,0)</f>
        <v>0</v>
      </c>
      <c r="AI241" s="22" t="s">
        <v>495</v>
      </c>
      <c r="AJ241" s="45">
        <f>IF(AN241=0,J241,0)</f>
        <v>0</v>
      </c>
      <c r="AK241" s="45">
        <f>IF(AN241=12,J241,0)</f>
        <v>0</v>
      </c>
      <c r="AL241" s="45">
        <f>IF(AN241=21,J241,0)</f>
        <v>0</v>
      </c>
      <c r="AN241" s="45">
        <v>21</v>
      </c>
      <c r="AO241" s="45">
        <f>G241*0.0376428571428571</f>
        <v>0</v>
      </c>
      <c r="AP241" s="45">
        <f>G241*(1-0.0376428571428571)</f>
        <v>0</v>
      </c>
      <c r="AQ241" s="28" t="s">
        <v>694</v>
      </c>
      <c r="AV241" s="45">
        <f>AW241+AX241</f>
        <v>0</v>
      </c>
      <c r="AW241" s="45">
        <f>F241*AO241</f>
        <v>0</v>
      </c>
      <c r="AX241" s="45">
        <f>F241*AP241</f>
        <v>0</v>
      </c>
      <c r="AY241" s="28" t="s">
        <v>59</v>
      </c>
      <c r="AZ241" s="28" t="s">
        <v>385</v>
      </c>
      <c r="BA241" s="22" t="s">
        <v>544</v>
      </c>
      <c r="BC241" s="45">
        <f>AW241+AX241</f>
        <v>0</v>
      </c>
      <c r="BD241" s="45">
        <f>G241/(100-BE241)*100</f>
        <v>0</v>
      </c>
      <c r="BE241" s="45">
        <v>0</v>
      </c>
      <c r="BF241" s="45">
        <f>241</f>
        <v>241</v>
      </c>
      <c r="BH241" s="45">
        <f>F241*AO241</f>
        <v>0</v>
      </c>
      <c r="BI241" s="45">
        <f>F241*AP241</f>
        <v>0</v>
      </c>
      <c r="BJ241" s="45">
        <f>F241*G241</f>
        <v>0</v>
      </c>
      <c r="BK241" s="45"/>
      <c r="BL241" s="45">
        <v>766</v>
      </c>
      <c r="BW241" s="45">
        <v>21</v>
      </c>
    </row>
    <row r="242" spans="1:75" ht="15" customHeight="1">
      <c r="A242" s="49"/>
      <c r="C242" s="12" t="s">
        <v>722</v>
      </c>
      <c r="D242" s="12" t="s">
        <v>495</v>
      </c>
      <c r="F242" s="47">
        <v>9</v>
      </c>
      <c r="K242" s="16"/>
    </row>
    <row r="243" spans="1:75" ht="13.5" customHeight="1">
      <c r="A243" s="15" t="s">
        <v>353</v>
      </c>
      <c r="B243" s="4" t="s">
        <v>396</v>
      </c>
      <c r="C243" s="66" t="s">
        <v>161</v>
      </c>
      <c r="D243" s="63"/>
      <c r="E243" s="4" t="s">
        <v>168</v>
      </c>
      <c r="F243" s="45">
        <v>2</v>
      </c>
      <c r="G243" s="45">
        <v>0</v>
      </c>
      <c r="H243" s="45">
        <f>F243*AO243</f>
        <v>0</v>
      </c>
      <c r="I243" s="45">
        <f>F243*AP243</f>
        <v>0</v>
      </c>
      <c r="J243" s="45">
        <f>F243*G243</f>
        <v>0</v>
      </c>
      <c r="K243" s="43" t="s">
        <v>319</v>
      </c>
      <c r="Z243" s="45">
        <f>IF(AQ243="5",BJ243,0)</f>
        <v>0</v>
      </c>
      <c r="AB243" s="45">
        <f>IF(AQ243="1",BH243,0)</f>
        <v>0</v>
      </c>
      <c r="AC243" s="45">
        <f>IF(AQ243="1",BI243,0)</f>
        <v>0</v>
      </c>
      <c r="AD243" s="45">
        <f>IF(AQ243="7",BH243,0)</f>
        <v>0</v>
      </c>
      <c r="AE243" s="45">
        <f>IF(AQ243="7",BI243,0)</f>
        <v>0</v>
      </c>
      <c r="AF243" s="45">
        <f>IF(AQ243="2",BH243,0)</f>
        <v>0</v>
      </c>
      <c r="AG243" s="45">
        <f>IF(AQ243="2",BI243,0)</f>
        <v>0</v>
      </c>
      <c r="AH243" s="45">
        <f>IF(AQ243="0",BJ243,0)</f>
        <v>0</v>
      </c>
      <c r="AI243" s="22" t="s">
        <v>495</v>
      </c>
      <c r="AJ243" s="45">
        <f>IF(AN243=0,J243,0)</f>
        <v>0</v>
      </c>
      <c r="AK243" s="45">
        <f>IF(AN243=12,J243,0)</f>
        <v>0</v>
      </c>
      <c r="AL243" s="45">
        <f>IF(AN243=21,J243,0)</f>
        <v>0</v>
      </c>
      <c r="AN243" s="45">
        <v>21</v>
      </c>
      <c r="AO243" s="45">
        <f>G243*1</f>
        <v>0</v>
      </c>
      <c r="AP243" s="45">
        <f>G243*(1-1)</f>
        <v>0</v>
      </c>
      <c r="AQ243" s="28" t="s">
        <v>694</v>
      </c>
      <c r="AV243" s="45">
        <f>AW243+AX243</f>
        <v>0</v>
      </c>
      <c r="AW243" s="45">
        <f>F243*AO243</f>
        <v>0</v>
      </c>
      <c r="AX243" s="45">
        <f>F243*AP243</f>
        <v>0</v>
      </c>
      <c r="AY243" s="28" t="s">
        <v>59</v>
      </c>
      <c r="AZ243" s="28" t="s">
        <v>385</v>
      </c>
      <c r="BA243" s="22" t="s">
        <v>544</v>
      </c>
      <c r="BC243" s="45">
        <f>AW243+AX243</f>
        <v>0</v>
      </c>
      <c r="BD243" s="45">
        <f>G243/(100-BE243)*100</f>
        <v>0</v>
      </c>
      <c r="BE243" s="45">
        <v>0</v>
      </c>
      <c r="BF243" s="45">
        <f>243</f>
        <v>243</v>
      </c>
      <c r="BH243" s="45">
        <f>F243*AO243</f>
        <v>0</v>
      </c>
      <c r="BI243" s="45">
        <f>F243*AP243</f>
        <v>0</v>
      </c>
      <c r="BJ243" s="45">
        <f>F243*G243</f>
        <v>0</v>
      </c>
      <c r="BK243" s="45"/>
      <c r="BL243" s="45">
        <v>766</v>
      </c>
      <c r="BW243" s="45">
        <v>21</v>
      </c>
    </row>
    <row r="244" spans="1:75" ht="15" customHeight="1">
      <c r="A244" s="49"/>
      <c r="C244" s="12" t="s">
        <v>491</v>
      </c>
      <c r="D244" s="12" t="s">
        <v>495</v>
      </c>
      <c r="F244" s="47">
        <v>2</v>
      </c>
      <c r="K244" s="16"/>
    </row>
    <row r="245" spans="1:75" ht="13.5" customHeight="1">
      <c r="A245" s="15" t="s">
        <v>467</v>
      </c>
      <c r="B245" s="4" t="s">
        <v>587</v>
      </c>
      <c r="C245" s="66" t="s">
        <v>542</v>
      </c>
      <c r="D245" s="63"/>
      <c r="E245" s="4" t="s">
        <v>168</v>
      </c>
      <c r="F245" s="45">
        <v>1</v>
      </c>
      <c r="G245" s="45">
        <v>0</v>
      </c>
      <c r="H245" s="45">
        <f>F245*AO245</f>
        <v>0</v>
      </c>
      <c r="I245" s="45">
        <f>F245*AP245</f>
        <v>0</v>
      </c>
      <c r="J245" s="45">
        <f>F245*G245</f>
        <v>0</v>
      </c>
      <c r="K245" s="43" t="s">
        <v>319</v>
      </c>
      <c r="Z245" s="45">
        <f>IF(AQ245="5",BJ245,0)</f>
        <v>0</v>
      </c>
      <c r="AB245" s="45">
        <f>IF(AQ245="1",BH245,0)</f>
        <v>0</v>
      </c>
      <c r="AC245" s="45">
        <f>IF(AQ245="1",BI245,0)</f>
        <v>0</v>
      </c>
      <c r="AD245" s="45">
        <f>IF(AQ245="7",BH245,0)</f>
        <v>0</v>
      </c>
      <c r="AE245" s="45">
        <f>IF(AQ245="7",BI245,0)</f>
        <v>0</v>
      </c>
      <c r="AF245" s="45">
        <f>IF(AQ245="2",BH245,0)</f>
        <v>0</v>
      </c>
      <c r="AG245" s="45">
        <f>IF(AQ245="2",BI245,0)</f>
        <v>0</v>
      </c>
      <c r="AH245" s="45">
        <f>IF(AQ245="0",BJ245,0)</f>
        <v>0</v>
      </c>
      <c r="AI245" s="22" t="s">
        <v>495</v>
      </c>
      <c r="AJ245" s="45">
        <f>IF(AN245=0,J245,0)</f>
        <v>0</v>
      </c>
      <c r="AK245" s="45">
        <f>IF(AN245=12,J245,0)</f>
        <v>0</v>
      </c>
      <c r="AL245" s="45">
        <f>IF(AN245=21,J245,0)</f>
        <v>0</v>
      </c>
      <c r="AN245" s="45">
        <v>21</v>
      </c>
      <c r="AO245" s="45">
        <f>G245*1</f>
        <v>0</v>
      </c>
      <c r="AP245" s="45">
        <f>G245*(1-1)</f>
        <v>0</v>
      </c>
      <c r="AQ245" s="28" t="s">
        <v>694</v>
      </c>
      <c r="AV245" s="45">
        <f>AW245+AX245</f>
        <v>0</v>
      </c>
      <c r="AW245" s="45">
        <f>F245*AO245</f>
        <v>0</v>
      </c>
      <c r="AX245" s="45">
        <f>F245*AP245</f>
        <v>0</v>
      </c>
      <c r="AY245" s="28" t="s">
        <v>59</v>
      </c>
      <c r="AZ245" s="28" t="s">
        <v>385</v>
      </c>
      <c r="BA245" s="22" t="s">
        <v>544</v>
      </c>
      <c r="BC245" s="45">
        <f>AW245+AX245</f>
        <v>0</v>
      </c>
      <c r="BD245" s="45">
        <f>G245/(100-BE245)*100</f>
        <v>0</v>
      </c>
      <c r="BE245" s="45">
        <v>0</v>
      </c>
      <c r="BF245" s="45">
        <f>245</f>
        <v>245</v>
      </c>
      <c r="BH245" s="45">
        <f>F245*AO245</f>
        <v>0</v>
      </c>
      <c r="BI245" s="45">
        <f>F245*AP245</f>
        <v>0</v>
      </c>
      <c r="BJ245" s="45">
        <f>F245*G245</f>
        <v>0</v>
      </c>
      <c r="BK245" s="45"/>
      <c r="BL245" s="45">
        <v>766</v>
      </c>
      <c r="BW245" s="45">
        <v>21</v>
      </c>
    </row>
    <row r="246" spans="1:75" ht="15" customHeight="1">
      <c r="A246" s="49"/>
      <c r="C246" s="12" t="s">
        <v>692</v>
      </c>
      <c r="D246" s="12" t="s">
        <v>495</v>
      </c>
      <c r="F246" s="47">
        <v>1</v>
      </c>
      <c r="K246" s="16"/>
    </row>
    <row r="247" spans="1:75" ht="13.5" customHeight="1">
      <c r="A247" s="15" t="s">
        <v>15</v>
      </c>
      <c r="B247" s="4" t="s">
        <v>206</v>
      </c>
      <c r="C247" s="66" t="s">
        <v>259</v>
      </c>
      <c r="D247" s="63"/>
      <c r="E247" s="4" t="s">
        <v>168</v>
      </c>
      <c r="F247" s="45">
        <v>2</v>
      </c>
      <c r="G247" s="45">
        <v>0</v>
      </c>
      <c r="H247" s="45">
        <f>F247*AO247</f>
        <v>0</v>
      </c>
      <c r="I247" s="45">
        <f>F247*AP247</f>
        <v>0</v>
      </c>
      <c r="J247" s="45">
        <f>F247*G247</f>
        <v>0</v>
      </c>
      <c r="K247" s="43" t="s">
        <v>319</v>
      </c>
      <c r="Z247" s="45">
        <f>IF(AQ247="5",BJ247,0)</f>
        <v>0</v>
      </c>
      <c r="AB247" s="45">
        <f>IF(AQ247="1",BH247,0)</f>
        <v>0</v>
      </c>
      <c r="AC247" s="45">
        <f>IF(AQ247="1",BI247,0)</f>
        <v>0</v>
      </c>
      <c r="AD247" s="45">
        <f>IF(AQ247="7",BH247,0)</f>
        <v>0</v>
      </c>
      <c r="AE247" s="45">
        <f>IF(AQ247="7",BI247,0)</f>
        <v>0</v>
      </c>
      <c r="AF247" s="45">
        <f>IF(AQ247="2",BH247,0)</f>
        <v>0</v>
      </c>
      <c r="AG247" s="45">
        <f>IF(AQ247="2",BI247,0)</f>
        <v>0</v>
      </c>
      <c r="AH247" s="45">
        <f>IF(AQ247="0",BJ247,0)</f>
        <v>0</v>
      </c>
      <c r="AI247" s="22" t="s">
        <v>495</v>
      </c>
      <c r="AJ247" s="45">
        <f>IF(AN247=0,J247,0)</f>
        <v>0</v>
      </c>
      <c r="AK247" s="45">
        <f>IF(AN247=12,J247,0)</f>
        <v>0</v>
      </c>
      <c r="AL247" s="45">
        <f>IF(AN247=21,J247,0)</f>
        <v>0</v>
      </c>
      <c r="AN247" s="45">
        <v>21</v>
      </c>
      <c r="AO247" s="45">
        <f>G247*1</f>
        <v>0</v>
      </c>
      <c r="AP247" s="45">
        <f>G247*(1-1)</f>
        <v>0</v>
      </c>
      <c r="AQ247" s="28" t="s">
        <v>694</v>
      </c>
      <c r="AV247" s="45">
        <f>AW247+AX247</f>
        <v>0</v>
      </c>
      <c r="AW247" s="45">
        <f>F247*AO247</f>
        <v>0</v>
      </c>
      <c r="AX247" s="45">
        <f>F247*AP247</f>
        <v>0</v>
      </c>
      <c r="AY247" s="28" t="s">
        <v>59</v>
      </c>
      <c r="AZ247" s="28" t="s">
        <v>385</v>
      </c>
      <c r="BA247" s="22" t="s">
        <v>544</v>
      </c>
      <c r="BC247" s="45">
        <f>AW247+AX247</f>
        <v>0</v>
      </c>
      <c r="BD247" s="45">
        <f>G247/(100-BE247)*100</f>
        <v>0</v>
      </c>
      <c r="BE247" s="45">
        <v>0</v>
      </c>
      <c r="BF247" s="45">
        <f>247</f>
        <v>247</v>
      </c>
      <c r="BH247" s="45">
        <f>F247*AO247</f>
        <v>0</v>
      </c>
      <c r="BI247" s="45">
        <f>F247*AP247</f>
        <v>0</v>
      </c>
      <c r="BJ247" s="45">
        <f>F247*G247</f>
        <v>0</v>
      </c>
      <c r="BK247" s="45"/>
      <c r="BL247" s="45">
        <v>766</v>
      </c>
      <c r="BW247" s="45">
        <v>21</v>
      </c>
    </row>
    <row r="248" spans="1:75" ht="15" customHeight="1">
      <c r="A248" s="49"/>
      <c r="C248" s="12" t="s">
        <v>491</v>
      </c>
      <c r="D248" s="12" t="s">
        <v>495</v>
      </c>
      <c r="F248" s="47">
        <v>2</v>
      </c>
      <c r="K248" s="16"/>
    </row>
    <row r="249" spans="1:75" ht="13.5" customHeight="1">
      <c r="A249" s="15" t="s">
        <v>746</v>
      </c>
      <c r="B249" s="4" t="s">
        <v>381</v>
      </c>
      <c r="C249" s="66" t="s">
        <v>287</v>
      </c>
      <c r="D249" s="63"/>
      <c r="E249" s="4" t="s">
        <v>168</v>
      </c>
      <c r="F249" s="45">
        <v>4</v>
      </c>
      <c r="G249" s="45">
        <v>0</v>
      </c>
      <c r="H249" s="45">
        <f>F249*AO249</f>
        <v>0</v>
      </c>
      <c r="I249" s="45">
        <f>F249*AP249</f>
        <v>0</v>
      </c>
      <c r="J249" s="45">
        <f>F249*G249</f>
        <v>0</v>
      </c>
      <c r="K249" s="43" t="s">
        <v>319</v>
      </c>
      <c r="Z249" s="45">
        <f>IF(AQ249="5",BJ249,0)</f>
        <v>0</v>
      </c>
      <c r="AB249" s="45">
        <f>IF(AQ249="1",BH249,0)</f>
        <v>0</v>
      </c>
      <c r="AC249" s="45">
        <f>IF(AQ249="1",BI249,0)</f>
        <v>0</v>
      </c>
      <c r="AD249" s="45">
        <f>IF(AQ249="7",BH249,0)</f>
        <v>0</v>
      </c>
      <c r="AE249" s="45">
        <f>IF(AQ249="7",BI249,0)</f>
        <v>0</v>
      </c>
      <c r="AF249" s="45">
        <f>IF(AQ249="2",BH249,0)</f>
        <v>0</v>
      </c>
      <c r="AG249" s="45">
        <f>IF(AQ249="2",BI249,0)</f>
        <v>0</v>
      </c>
      <c r="AH249" s="45">
        <f>IF(AQ249="0",BJ249,0)</f>
        <v>0</v>
      </c>
      <c r="AI249" s="22" t="s">
        <v>495</v>
      </c>
      <c r="AJ249" s="45">
        <f>IF(AN249=0,J249,0)</f>
        <v>0</v>
      </c>
      <c r="AK249" s="45">
        <f>IF(AN249=12,J249,0)</f>
        <v>0</v>
      </c>
      <c r="AL249" s="45">
        <f>IF(AN249=21,J249,0)</f>
        <v>0</v>
      </c>
      <c r="AN249" s="45">
        <v>21</v>
      </c>
      <c r="AO249" s="45">
        <f>G249*1</f>
        <v>0</v>
      </c>
      <c r="AP249" s="45">
        <f>G249*(1-1)</f>
        <v>0</v>
      </c>
      <c r="AQ249" s="28" t="s">
        <v>694</v>
      </c>
      <c r="AV249" s="45">
        <f>AW249+AX249</f>
        <v>0</v>
      </c>
      <c r="AW249" s="45">
        <f>F249*AO249</f>
        <v>0</v>
      </c>
      <c r="AX249" s="45">
        <f>F249*AP249</f>
        <v>0</v>
      </c>
      <c r="AY249" s="28" t="s">
        <v>59</v>
      </c>
      <c r="AZ249" s="28" t="s">
        <v>385</v>
      </c>
      <c r="BA249" s="22" t="s">
        <v>544</v>
      </c>
      <c r="BC249" s="45">
        <f>AW249+AX249</f>
        <v>0</v>
      </c>
      <c r="BD249" s="45">
        <f>G249/(100-BE249)*100</f>
        <v>0</v>
      </c>
      <c r="BE249" s="45">
        <v>0</v>
      </c>
      <c r="BF249" s="45">
        <f>249</f>
        <v>249</v>
      </c>
      <c r="BH249" s="45">
        <f>F249*AO249</f>
        <v>0</v>
      </c>
      <c r="BI249" s="45">
        <f>F249*AP249</f>
        <v>0</v>
      </c>
      <c r="BJ249" s="45">
        <f>F249*G249</f>
        <v>0</v>
      </c>
      <c r="BK249" s="45"/>
      <c r="BL249" s="45">
        <v>766</v>
      </c>
      <c r="BW249" s="45">
        <v>21</v>
      </c>
    </row>
    <row r="250" spans="1:75" ht="15" customHeight="1">
      <c r="A250" s="49"/>
      <c r="C250" s="12" t="s">
        <v>65</v>
      </c>
      <c r="D250" s="12" t="s">
        <v>495</v>
      </c>
      <c r="F250" s="47">
        <v>4</v>
      </c>
      <c r="K250" s="16"/>
    </row>
    <row r="251" spans="1:75" ht="15" customHeight="1">
      <c r="A251" s="42" t="s">
        <v>495</v>
      </c>
      <c r="B251" s="39" t="s">
        <v>323</v>
      </c>
      <c r="C251" s="79" t="s">
        <v>203</v>
      </c>
      <c r="D251" s="80"/>
      <c r="E251" s="27" t="s">
        <v>653</v>
      </c>
      <c r="F251" s="27" t="s">
        <v>653</v>
      </c>
      <c r="G251" s="27" t="s">
        <v>653</v>
      </c>
      <c r="H251" s="11">
        <f>SUM(H252:H254)</f>
        <v>0</v>
      </c>
      <c r="I251" s="11">
        <f>SUM(I252:I254)</f>
        <v>0</v>
      </c>
      <c r="J251" s="11">
        <f>SUM(J252:J254)</f>
        <v>0</v>
      </c>
      <c r="K251" s="50" t="s">
        <v>495</v>
      </c>
      <c r="AI251" s="22" t="s">
        <v>495</v>
      </c>
      <c r="AS251" s="11">
        <f>SUM(AJ252:AJ254)</f>
        <v>0</v>
      </c>
      <c r="AT251" s="11">
        <f>SUM(AK252:AK254)</f>
        <v>0</v>
      </c>
      <c r="AU251" s="11">
        <f>SUM(AL252:AL254)</f>
        <v>0</v>
      </c>
    </row>
    <row r="252" spans="1:75" ht="13.5" customHeight="1">
      <c r="A252" s="15" t="s">
        <v>741</v>
      </c>
      <c r="B252" s="4" t="s">
        <v>192</v>
      </c>
      <c r="C252" s="66" t="s">
        <v>502</v>
      </c>
      <c r="D252" s="63"/>
      <c r="E252" s="4" t="s">
        <v>686</v>
      </c>
      <c r="F252" s="45">
        <v>260</v>
      </c>
      <c r="G252" s="45">
        <v>0</v>
      </c>
      <c r="H252" s="45">
        <f>F252*AO252</f>
        <v>0</v>
      </c>
      <c r="I252" s="45">
        <f>F252*AP252</f>
        <v>0</v>
      </c>
      <c r="J252" s="45">
        <f>F252*G252</f>
        <v>0</v>
      </c>
      <c r="K252" s="43" t="s">
        <v>319</v>
      </c>
      <c r="Z252" s="45">
        <f>IF(AQ252="5",BJ252,0)</f>
        <v>0</v>
      </c>
      <c r="AB252" s="45">
        <f>IF(AQ252="1",BH252,0)</f>
        <v>0</v>
      </c>
      <c r="AC252" s="45">
        <f>IF(AQ252="1",BI252,0)</f>
        <v>0</v>
      </c>
      <c r="AD252" s="45">
        <f>IF(AQ252="7",BH252,0)</f>
        <v>0</v>
      </c>
      <c r="AE252" s="45">
        <f>IF(AQ252="7",BI252,0)</f>
        <v>0</v>
      </c>
      <c r="AF252" s="45">
        <f>IF(AQ252="2",BH252,0)</f>
        <v>0</v>
      </c>
      <c r="AG252" s="45">
        <f>IF(AQ252="2",BI252,0)</f>
        <v>0</v>
      </c>
      <c r="AH252" s="45">
        <f>IF(AQ252="0",BJ252,0)</f>
        <v>0</v>
      </c>
      <c r="AI252" s="22" t="s">
        <v>495</v>
      </c>
      <c r="AJ252" s="45">
        <f>IF(AN252=0,J252,0)</f>
        <v>0</v>
      </c>
      <c r="AK252" s="45">
        <f>IF(AN252=12,J252,0)</f>
        <v>0</v>
      </c>
      <c r="AL252" s="45">
        <f>IF(AN252=21,J252,0)</f>
        <v>0</v>
      </c>
      <c r="AN252" s="45">
        <v>21</v>
      </c>
      <c r="AO252" s="45">
        <f>G252*0</f>
        <v>0</v>
      </c>
      <c r="AP252" s="45">
        <f>G252*(1-0)</f>
        <v>0</v>
      </c>
      <c r="AQ252" s="28" t="s">
        <v>694</v>
      </c>
      <c r="AV252" s="45">
        <f>AW252+AX252</f>
        <v>0</v>
      </c>
      <c r="AW252" s="45">
        <f>F252*AO252</f>
        <v>0</v>
      </c>
      <c r="AX252" s="45">
        <f>F252*AP252</f>
        <v>0</v>
      </c>
      <c r="AY252" s="28" t="s">
        <v>188</v>
      </c>
      <c r="AZ252" s="28" t="s">
        <v>385</v>
      </c>
      <c r="BA252" s="22" t="s">
        <v>544</v>
      </c>
      <c r="BC252" s="45">
        <f>AW252+AX252</f>
        <v>0</v>
      </c>
      <c r="BD252" s="45">
        <f>G252/(100-BE252)*100</f>
        <v>0</v>
      </c>
      <c r="BE252" s="45">
        <v>0</v>
      </c>
      <c r="BF252" s="45">
        <f>252</f>
        <v>252</v>
      </c>
      <c r="BH252" s="45">
        <f>F252*AO252</f>
        <v>0</v>
      </c>
      <c r="BI252" s="45">
        <f>F252*AP252</f>
        <v>0</v>
      </c>
      <c r="BJ252" s="45">
        <f>F252*G252</f>
        <v>0</v>
      </c>
      <c r="BK252" s="45"/>
      <c r="BL252" s="45">
        <v>767</v>
      </c>
      <c r="BW252" s="45">
        <v>21</v>
      </c>
    </row>
    <row r="253" spans="1:75" ht="15" customHeight="1">
      <c r="A253" s="49"/>
      <c r="C253" s="12" t="s">
        <v>100</v>
      </c>
      <c r="D253" s="12" t="s">
        <v>495</v>
      </c>
      <c r="F253" s="47">
        <v>260</v>
      </c>
      <c r="K253" s="16"/>
    </row>
    <row r="254" spans="1:75" ht="13.5" customHeight="1">
      <c r="A254" s="15" t="s">
        <v>739</v>
      </c>
      <c r="B254" s="4" t="s">
        <v>752</v>
      </c>
      <c r="C254" s="66" t="s">
        <v>497</v>
      </c>
      <c r="D254" s="63"/>
      <c r="E254" s="4" t="s">
        <v>168</v>
      </c>
      <c r="F254" s="45">
        <v>4</v>
      </c>
      <c r="G254" s="45">
        <v>0</v>
      </c>
      <c r="H254" s="45">
        <f>F254*AO254</f>
        <v>0</v>
      </c>
      <c r="I254" s="45">
        <f>F254*AP254</f>
        <v>0</v>
      </c>
      <c r="J254" s="45">
        <f>F254*G254</f>
        <v>0</v>
      </c>
      <c r="K254" s="43" t="s">
        <v>495</v>
      </c>
      <c r="Z254" s="45">
        <f>IF(AQ254="5",BJ254,0)</f>
        <v>0</v>
      </c>
      <c r="AB254" s="45">
        <f>IF(AQ254="1",BH254,0)</f>
        <v>0</v>
      </c>
      <c r="AC254" s="45">
        <f>IF(AQ254="1",BI254,0)</f>
        <v>0</v>
      </c>
      <c r="AD254" s="45">
        <f>IF(AQ254="7",BH254,0)</f>
        <v>0</v>
      </c>
      <c r="AE254" s="45">
        <f>IF(AQ254="7",BI254,0)</f>
        <v>0</v>
      </c>
      <c r="AF254" s="45">
        <f>IF(AQ254="2",BH254,0)</f>
        <v>0</v>
      </c>
      <c r="AG254" s="45">
        <f>IF(AQ254="2",BI254,0)</f>
        <v>0</v>
      </c>
      <c r="AH254" s="45">
        <f>IF(AQ254="0",BJ254,0)</f>
        <v>0</v>
      </c>
      <c r="AI254" s="22" t="s">
        <v>495</v>
      </c>
      <c r="AJ254" s="45">
        <f>IF(AN254=0,J254,0)</f>
        <v>0</v>
      </c>
      <c r="AK254" s="45">
        <f>IF(AN254=12,J254,0)</f>
        <v>0</v>
      </c>
      <c r="AL254" s="45">
        <f>IF(AN254=21,J254,0)</f>
        <v>0</v>
      </c>
      <c r="AN254" s="45">
        <v>21</v>
      </c>
      <c r="AO254" s="45">
        <f>G254*0.8</f>
        <v>0</v>
      </c>
      <c r="AP254" s="45">
        <f>G254*(1-0.8)</f>
        <v>0</v>
      </c>
      <c r="AQ254" s="28" t="s">
        <v>694</v>
      </c>
      <c r="AV254" s="45">
        <f>AW254+AX254</f>
        <v>0</v>
      </c>
      <c r="AW254" s="45">
        <f>F254*AO254</f>
        <v>0</v>
      </c>
      <c r="AX254" s="45">
        <f>F254*AP254</f>
        <v>0</v>
      </c>
      <c r="AY254" s="28" t="s">
        <v>188</v>
      </c>
      <c r="AZ254" s="28" t="s">
        <v>385</v>
      </c>
      <c r="BA254" s="22" t="s">
        <v>544</v>
      </c>
      <c r="BC254" s="45">
        <f>AW254+AX254</f>
        <v>0</v>
      </c>
      <c r="BD254" s="45">
        <f>G254/(100-BE254)*100</f>
        <v>0</v>
      </c>
      <c r="BE254" s="45">
        <v>0</v>
      </c>
      <c r="BF254" s="45">
        <f>254</f>
        <v>254</v>
      </c>
      <c r="BH254" s="45">
        <f>F254*AO254</f>
        <v>0</v>
      </c>
      <c r="BI254" s="45">
        <f>F254*AP254</f>
        <v>0</v>
      </c>
      <c r="BJ254" s="45">
        <f>F254*G254</f>
        <v>0</v>
      </c>
      <c r="BK254" s="45"/>
      <c r="BL254" s="45">
        <v>767</v>
      </c>
      <c r="BW254" s="45">
        <v>21</v>
      </c>
    </row>
    <row r="255" spans="1:75" ht="15" customHeight="1">
      <c r="A255" s="49"/>
      <c r="C255" s="12" t="s">
        <v>561</v>
      </c>
      <c r="D255" s="12" t="s">
        <v>495</v>
      </c>
      <c r="F255" s="47">
        <v>4</v>
      </c>
      <c r="K255" s="16"/>
    </row>
    <row r="256" spans="1:75" ht="15" customHeight="1">
      <c r="A256" s="42" t="s">
        <v>495</v>
      </c>
      <c r="B256" s="39" t="s">
        <v>754</v>
      </c>
      <c r="C256" s="79" t="s">
        <v>627</v>
      </c>
      <c r="D256" s="80"/>
      <c r="E256" s="27" t="s">
        <v>653</v>
      </c>
      <c r="F256" s="27" t="s">
        <v>653</v>
      </c>
      <c r="G256" s="27" t="s">
        <v>653</v>
      </c>
      <c r="H256" s="11">
        <f>SUM(H257:H259)</f>
        <v>0</v>
      </c>
      <c r="I256" s="11">
        <f>SUM(I257:I259)</f>
        <v>0</v>
      </c>
      <c r="J256" s="11">
        <f>SUM(J257:J259)</f>
        <v>0</v>
      </c>
      <c r="K256" s="50" t="s">
        <v>495</v>
      </c>
      <c r="AI256" s="22" t="s">
        <v>495</v>
      </c>
      <c r="AS256" s="11">
        <f>SUM(AJ257:AJ259)</f>
        <v>0</v>
      </c>
      <c r="AT256" s="11">
        <f>SUM(AK257:AK259)</f>
        <v>0</v>
      </c>
      <c r="AU256" s="11">
        <f>SUM(AL257:AL259)</f>
        <v>0</v>
      </c>
    </row>
    <row r="257" spans="1:75" ht="13.5" customHeight="1">
      <c r="A257" s="15" t="s">
        <v>13</v>
      </c>
      <c r="B257" s="4" t="s">
        <v>370</v>
      </c>
      <c r="C257" s="66" t="s">
        <v>194</v>
      </c>
      <c r="D257" s="63"/>
      <c r="E257" s="4" t="s">
        <v>686</v>
      </c>
      <c r="F257" s="45">
        <v>3.35</v>
      </c>
      <c r="G257" s="45">
        <v>0</v>
      </c>
      <c r="H257" s="45">
        <f>F257*AO257</f>
        <v>0</v>
      </c>
      <c r="I257" s="45">
        <f>F257*AP257</f>
        <v>0</v>
      </c>
      <c r="J257" s="45">
        <f>F257*G257</f>
        <v>0</v>
      </c>
      <c r="K257" s="43" t="s">
        <v>319</v>
      </c>
      <c r="Z257" s="45">
        <f>IF(AQ257="5",BJ257,0)</f>
        <v>0</v>
      </c>
      <c r="AB257" s="45">
        <f>IF(AQ257="1",BH257,0)</f>
        <v>0</v>
      </c>
      <c r="AC257" s="45">
        <f>IF(AQ257="1",BI257,0)</f>
        <v>0</v>
      </c>
      <c r="AD257" s="45">
        <f>IF(AQ257="7",BH257,0)</f>
        <v>0</v>
      </c>
      <c r="AE257" s="45">
        <f>IF(AQ257="7",BI257,0)</f>
        <v>0</v>
      </c>
      <c r="AF257" s="45">
        <f>IF(AQ257="2",BH257,0)</f>
        <v>0</v>
      </c>
      <c r="AG257" s="45">
        <f>IF(AQ257="2",BI257,0)</f>
        <v>0</v>
      </c>
      <c r="AH257" s="45">
        <f>IF(AQ257="0",BJ257,0)</f>
        <v>0</v>
      </c>
      <c r="AI257" s="22" t="s">
        <v>495</v>
      </c>
      <c r="AJ257" s="45">
        <f>IF(AN257=0,J257,0)</f>
        <v>0</v>
      </c>
      <c r="AK257" s="45">
        <f>IF(AN257=12,J257,0)</f>
        <v>0</v>
      </c>
      <c r="AL257" s="45">
        <f>IF(AN257=21,J257,0)</f>
        <v>0</v>
      </c>
      <c r="AN257" s="45">
        <v>21</v>
      </c>
      <c r="AO257" s="45">
        <f>G257*0.17320726172466</f>
        <v>0</v>
      </c>
      <c r="AP257" s="45">
        <f>G257*(1-0.17320726172466)</f>
        <v>0</v>
      </c>
      <c r="AQ257" s="28" t="s">
        <v>694</v>
      </c>
      <c r="AV257" s="45">
        <f>AW257+AX257</f>
        <v>0</v>
      </c>
      <c r="AW257" s="45">
        <f>F257*AO257</f>
        <v>0</v>
      </c>
      <c r="AX257" s="45">
        <f>F257*AP257</f>
        <v>0</v>
      </c>
      <c r="AY257" s="28" t="s">
        <v>708</v>
      </c>
      <c r="AZ257" s="28" t="s">
        <v>163</v>
      </c>
      <c r="BA257" s="22" t="s">
        <v>544</v>
      </c>
      <c r="BC257" s="45">
        <f>AW257+AX257</f>
        <v>0</v>
      </c>
      <c r="BD257" s="45">
        <f>G257/(100-BE257)*100</f>
        <v>0</v>
      </c>
      <c r="BE257" s="45">
        <v>0</v>
      </c>
      <c r="BF257" s="45">
        <f>257</f>
        <v>257</v>
      </c>
      <c r="BH257" s="45">
        <f>F257*AO257</f>
        <v>0</v>
      </c>
      <c r="BI257" s="45">
        <f>F257*AP257</f>
        <v>0</v>
      </c>
      <c r="BJ257" s="45">
        <f>F257*G257</f>
        <v>0</v>
      </c>
      <c r="BK257" s="45"/>
      <c r="BL257" s="45">
        <v>771</v>
      </c>
      <c r="BW257" s="45">
        <v>21</v>
      </c>
    </row>
    <row r="258" spans="1:75" ht="15" customHeight="1">
      <c r="A258" s="49"/>
      <c r="C258" s="12" t="s">
        <v>300</v>
      </c>
      <c r="D258" s="12" t="s">
        <v>495</v>
      </c>
      <c r="F258" s="47">
        <v>3.35</v>
      </c>
      <c r="K258" s="16"/>
    </row>
    <row r="259" spans="1:75" ht="13.5" customHeight="1">
      <c r="A259" s="15" t="s">
        <v>0</v>
      </c>
      <c r="B259" s="4" t="s">
        <v>176</v>
      </c>
      <c r="C259" s="66" t="s">
        <v>635</v>
      </c>
      <c r="D259" s="63"/>
      <c r="E259" s="4" t="s">
        <v>686</v>
      </c>
      <c r="F259" s="45">
        <v>4</v>
      </c>
      <c r="G259" s="45">
        <v>0</v>
      </c>
      <c r="H259" s="45">
        <f>F259*AO259</f>
        <v>0</v>
      </c>
      <c r="I259" s="45">
        <f>F259*AP259</f>
        <v>0</v>
      </c>
      <c r="J259" s="45">
        <f>F259*G259</f>
        <v>0</v>
      </c>
      <c r="K259" s="43" t="s">
        <v>495</v>
      </c>
      <c r="Z259" s="45">
        <f>IF(AQ259="5",BJ259,0)</f>
        <v>0</v>
      </c>
      <c r="AB259" s="45">
        <f>IF(AQ259="1",BH259,0)</f>
        <v>0</v>
      </c>
      <c r="AC259" s="45">
        <f>IF(AQ259="1",BI259,0)</f>
        <v>0</v>
      </c>
      <c r="AD259" s="45">
        <f>IF(AQ259="7",BH259,0)</f>
        <v>0</v>
      </c>
      <c r="AE259" s="45">
        <f>IF(AQ259="7",BI259,0)</f>
        <v>0</v>
      </c>
      <c r="AF259" s="45">
        <f>IF(AQ259="2",BH259,0)</f>
        <v>0</v>
      </c>
      <c r="AG259" s="45">
        <f>IF(AQ259="2",BI259,0)</f>
        <v>0</v>
      </c>
      <c r="AH259" s="45">
        <f>IF(AQ259="0",BJ259,0)</f>
        <v>0</v>
      </c>
      <c r="AI259" s="22" t="s">
        <v>495</v>
      </c>
      <c r="AJ259" s="45">
        <f>IF(AN259=0,J259,0)</f>
        <v>0</v>
      </c>
      <c r="AK259" s="45">
        <f>IF(AN259=12,J259,0)</f>
        <v>0</v>
      </c>
      <c r="AL259" s="45">
        <f>IF(AN259=21,J259,0)</f>
        <v>0</v>
      </c>
      <c r="AN259" s="45">
        <v>21</v>
      </c>
      <c r="AO259" s="45">
        <f>G259*1</f>
        <v>0</v>
      </c>
      <c r="AP259" s="45">
        <f>G259*(1-1)</f>
        <v>0</v>
      </c>
      <c r="AQ259" s="28" t="s">
        <v>694</v>
      </c>
      <c r="AV259" s="45">
        <f>AW259+AX259</f>
        <v>0</v>
      </c>
      <c r="AW259" s="45">
        <f>F259*AO259</f>
        <v>0</v>
      </c>
      <c r="AX259" s="45">
        <f>F259*AP259</f>
        <v>0</v>
      </c>
      <c r="AY259" s="28" t="s">
        <v>708</v>
      </c>
      <c r="AZ259" s="28" t="s">
        <v>163</v>
      </c>
      <c r="BA259" s="22" t="s">
        <v>544</v>
      </c>
      <c r="BC259" s="45">
        <f>AW259+AX259</f>
        <v>0</v>
      </c>
      <c r="BD259" s="45">
        <f>G259/(100-BE259)*100</f>
        <v>0</v>
      </c>
      <c r="BE259" s="45">
        <v>0</v>
      </c>
      <c r="BF259" s="45">
        <f>259</f>
        <v>259</v>
      </c>
      <c r="BH259" s="45">
        <f>F259*AO259</f>
        <v>0</v>
      </c>
      <c r="BI259" s="45">
        <f>F259*AP259</f>
        <v>0</v>
      </c>
      <c r="BJ259" s="45">
        <f>F259*G259</f>
        <v>0</v>
      </c>
      <c r="BK259" s="45"/>
      <c r="BL259" s="45">
        <v>771</v>
      </c>
      <c r="BW259" s="45">
        <v>21</v>
      </c>
    </row>
    <row r="260" spans="1:75" ht="15" customHeight="1">
      <c r="A260" s="49"/>
      <c r="C260" s="12" t="s">
        <v>615</v>
      </c>
      <c r="D260" s="12" t="s">
        <v>495</v>
      </c>
      <c r="F260" s="47">
        <v>4</v>
      </c>
      <c r="K260" s="16"/>
    </row>
    <row r="261" spans="1:75" ht="15" customHeight="1">
      <c r="A261" s="42" t="s">
        <v>495</v>
      </c>
      <c r="B261" s="39" t="s">
        <v>556</v>
      </c>
      <c r="C261" s="79" t="s">
        <v>474</v>
      </c>
      <c r="D261" s="80"/>
      <c r="E261" s="27" t="s">
        <v>653</v>
      </c>
      <c r="F261" s="27" t="s">
        <v>653</v>
      </c>
      <c r="G261" s="27" t="s">
        <v>653</v>
      </c>
      <c r="H261" s="11">
        <f>SUM(H262:H264)</f>
        <v>0</v>
      </c>
      <c r="I261" s="11">
        <f>SUM(I262:I264)</f>
        <v>0</v>
      </c>
      <c r="J261" s="11">
        <f>SUM(J262:J264)</f>
        <v>0</v>
      </c>
      <c r="K261" s="50" t="s">
        <v>495</v>
      </c>
      <c r="AI261" s="22" t="s">
        <v>495</v>
      </c>
      <c r="AS261" s="11">
        <f>SUM(AJ262:AJ264)</f>
        <v>0</v>
      </c>
      <c r="AT261" s="11">
        <f>SUM(AK262:AK264)</f>
        <v>0</v>
      </c>
      <c r="AU261" s="11">
        <f>SUM(AL262:AL264)</f>
        <v>0</v>
      </c>
    </row>
    <row r="262" spans="1:75" ht="13.5" customHeight="1">
      <c r="A262" s="15" t="s">
        <v>644</v>
      </c>
      <c r="B262" s="4" t="s">
        <v>720</v>
      </c>
      <c r="C262" s="66" t="s">
        <v>285</v>
      </c>
      <c r="D262" s="63"/>
      <c r="E262" s="4" t="s">
        <v>686</v>
      </c>
      <c r="F262" s="45">
        <v>171.65</v>
      </c>
      <c r="G262" s="45">
        <v>0</v>
      </c>
      <c r="H262" s="45">
        <f>F262*AO262</f>
        <v>0</v>
      </c>
      <c r="I262" s="45">
        <f>F262*AP262</f>
        <v>0</v>
      </c>
      <c r="J262" s="45">
        <f>F262*G262</f>
        <v>0</v>
      </c>
      <c r="K262" s="43" t="s">
        <v>319</v>
      </c>
      <c r="Z262" s="45">
        <f>IF(AQ262="5",BJ262,0)</f>
        <v>0</v>
      </c>
      <c r="AB262" s="45">
        <f>IF(AQ262="1",BH262,0)</f>
        <v>0</v>
      </c>
      <c r="AC262" s="45">
        <f>IF(AQ262="1",BI262,0)</f>
        <v>0</v>
      </c>
      <c r="AD262" s="45">
        <f>IF(AQ262="7",BH262,0)</f>
        <v>0</v>
      </c>
      <c r="AE262" s="45">
        <f>IF(AQ262="7",BI262,0)</f>
        <v>0</v>
      </c>
      <c r="AF262" s="45">
        <f>IF(AQ262="2",BH262,0)</f>
        <v>0</v>
      </c>
      <c r="AG262" s="45">
        <f>IF(AQ262="2",BI262,0)</f>
        <v>0</v>
      </c>
      <c r="AH262" s="45">
        <f>IF(AQ262="0",BJ262,0)</f>
        <v>0</v>
      </c>
      <c r="AI262" s="22" t="s">
        <v>495</v>
      </c>
      <c r="AJ262" s="45">
        <f>IF(AN262=0,J262,0)</f>
        <v>0</v>
      </c>
      <c r="AK262" s="45">
        <f>IF(AN262=12,J262,0)</f>
        <v>0</v>
      </c>
      <c r="AL262" s="45">
        <f>IF(AN262=21,J262,0)</f>
        <v>0</v>
      </c>
      <c r="AN262" s="45">
        <v>21</v>
      </c>
      <c r="AO262" s="45">
        <f>G262*0</f>
        <v>0</v>
      </c>
      <c r="AP262" s="45">
        <f>G262*(1-0)</f>
        <v>0</v>
      </c>
      <c r="AQ262" s="28" t="s">
        <v>694</v>
      </c>
      <c r="AV262" s="45">
        <f>AW262+AX262</f>
        <v>0</v>
      </c>
      <c r="AW262" s="45">
        <f>F262*AO262</f>
        <v>0</v>
      </c>
      <c r="AX262" s="45">
        <f>F262*AP262</f>
        <v>0</v>
      </c>
      <c r="AY262" s="28" t="s">
        <v>132</v>
      </c>
      <c r="AZ262" s="28" t="s">
        <v>163</v>
      </c>
      <c r="BA262" s="22" t="s">
        <v>544</v>
      </c>
      <c r="BC262" s="45">
        <f>AW262+AX262</f>
        <v>0</v>
      </c>
      <c r="BD262" s="45">
        <f>G262/(100-BE262)*100</f>
        <v>0</v>
      </c>
      <c r="BE262" s="45">
        <v>0</v>
      </c>
      <c r="BF262" s="45">
        <f>262</f>
        <v>262</v>
      </c>
      <c r="BH262" s="45">
        <f>F262*AO262</f>
        <v>0</v>
      </c>
      <c r="BI262" s="45">
        <f>F262*AP262</f>
        <v>0</v>
      </c>
      <c r="BJ262" s="45">
        <f>F262*G262</f>
        <v>0</v>
      </c>
      <c r="BK262" s="45"/>
      <c r="BL262" s="45">
        <v>776</v>
      </c>
      <c r="BW262" s="45">
        <v>21</v>
      </c>
    </row>
    <row r="263" spans="1:75" ht="15" customHeight="1">
      <c r="A263" s="49"/>
      <c r="C263" s="12" t="s">
        <v>424</v>
      </c>
      <c r="D263" s="12" t="s">
        <v>495</v>
      </c>
      <c r="F263" s="47">
        <v>171.65</v>
      </c>
      <c r="K263" s="16"/>
    </row>
    <row r="264" spans="1:75" ht="13.5" customHeight="1">
      <c r="A264" s="15" t="s">
        <v>68</v>
      </c>
      <c r="B264" s="4" t="s">
        <v>345</v>
      </c>
      <c r="C264" s="66" t="s">
        <v>406</v>
      </c>
      <c r="D264" s="63"/>
      <c r="E264" s="4" t="s">
        <v>686</v>
      </c>
      <c r="F264" s="45">
        <v>180.23249999999999</v>
      </c>
      <c r="G264" s="45">
        <v>0</v>
      </c>
      <c r="H264" s="45">
        <f>F264*AO264</f>
        <v>0</v>
      </c>
      <c r="I264" s="45">
        <f>F264*AP264</f>
        <v>0</v>
      </c>
      <c r="J264" s="45">
        <f>F264*G264</f>
        <v>0</v>
      </c>
      <c r="K264" s="43" t="s">
        <v>319</v>
      </c>
      <c r="Z264" s="45">
        <f>IF(AQ264="5",BJ264,0)</f>
        <v>0</v>
      </c>
      <c r="AB264" s="45">
        <f>IF(AQ264="1",BH264,0)</f>
        <v>0</v>
      </c>
      <c r="AC264" s="45">
        <f>IF(AQ264="1",BI264,0)</f>
        <v>0</v>
      </c>
      <c r="AD264" s="45">
        <f>IF(AQ264="7",BH264,0)</f>
        <v>0</v>
      </c>
      <c r="AE264" s="45">
        <f>IF(AQ264="7",BI264,0)</f>
        <v>0</v>
      </c>
      <c r="AF264" s="45">
        <f>IF(AQ264="2",BH264,0)</f>
        <v>0</v>
      </c>
      <c r="AG264" s="45">
        <f>IF(AQ264="2",BI264,0)</f>
        <v>0</v>
      </c>
      <c r="AH264" s="45">
        <f>IF(AQ264="0",BJ264,0)</f>
        <v>0</v>
      </c>
      <c r="AI264" s="22" t="s">
        <v>495</v>
      </c>
      <c r="AJ264" s="45">
        <f>IF(AN264=0,J264,0)</f>
        <v>0</v>
      </c>
      <c r="AK264" s="45">
        <f>IF(AN264=12,J264,0)</f>
        <v>0</v>
      </c>
      <c r="AL264" s="45">
        <f>IF(AN264=21,J264,0)</f>
        <v>0</v>
      </c>
      <c r="AN264" s="45">
        <v>21</v>
      </c>
      <c r="AO264" s="45">
        <f>G264*0.805120653610553</f>
        <v>0</v>
      </c>
      <c r="AP264" s="45">
        <f>G264*(1-0.805120653610553)</f>
        <v>0</v>
      </c>
      <c r="AQ264" s="28" t="s">
        <v>694</v>
      </c>
      <c r="AV264" s="45">
        <f>AW264+AX264</f>
        <v>0</v>
      </c>
      <c r="AW264" s="45">
        <f>F264*AO264</f>
        <v>0</v>
      </c>
      <c r="AX264" s="45">
        <f>F264*AP264</f>
        <v>0</v>
      </c>
      <c r="AY264" s="28" t="s">
        <v>132</v>
      </c>
      <c r="AZ264" s="28" t="s">
        <v>163</v>
      </c>
      <c r="BA264" s="22" t="s">
        <v>544</v>
      </c>
      <c r="BC264" s="45">
        <f>AW264+AX264</f>
        <v>0</v>
      </c>
      <c r="BD264" s="45">
        <f>G264/(100-BE264)*100</f>
        <v>0</v>
      </c>
      <c r="BE264" s="45">
        <v>0</v>
      </c>
      <c r="BF264" s="45">
        <f>264</f>
        <v>264</v>
      </c>
      <c r="BH264" s="45">
        <f>F264*AO264</f>
        <v>0</v>
      </c>
      <c r="BI264" s="45">
        <f>F264*AP264</f>
        <v>0</v>
      </c>
      <c r="BJ264" s="45">
        <f>F264*G264</f>
        <v>0</v>
      </c>
      <c r="BK264" s="45"/>
      <c r="BL264" s="45">
        <v>776</v>
      </c>
      <c r="BW264" s="45">
        <v>21</v>
      </c>
    </row>
    <row r="265" spans="1:75" ht="15" customHeight="1">
      <c r="A265" s="49"/>
      <c r="C265" s="12" t="s">
        <v>28</v>
      </c>
      <c r="D265" s="12" t="s">
        <v>495</v>
      </c>
      <c r="F265" s="47">
        <v>180.23250000000002</v>
      </c>
      <c r="K265" s="16"/>
    </row>
    <row r="266" spans="1:75" ht="15" customHeight="1">
      <c r="A266" s="42" t="s">
        <v>495</v>
      </c>
      <c r="B266" s="39" t="s">
        <v>399</v>
      </c>
      <c r="C266" s="79" t="s">
        <v>9</v>
      </c>
      <c r="D266" s="80"/>
      <c r="E266" s="27" t="s">
        <v>653</v>
      </c>
      <c r="F266" s="27" t="s">
        <v>653</v>
      </c>
      <c r="G266" s="27" t="s">
        <v>653</v>
      </c>
      <c r="H266" s="11">
        <f>SUM(H267:H267)</f>
        <v>0</v>
      </c>
      <c r="I266" s="11">
        <f>SUM(I267:I267)</f>
        <v>0</v>
      </c>
      <c r="J266" s="11">
        <f>SUM(J267:J267)</f>
        <v>0</v>
      </c>
      <c r="K266" s="50" t="s">
        <v>495</v>
      </c>
      <c r="AI266" s="22" t="s">
        <v>495</v>
      </c>
      <c r="AS266" s="11">
        <f>SUM(AJ267:AJ267)</f>
        <v>0</v>
      </c>
      <c r="AT266" s="11">
        <f>SUM(AK267:AK267)</f>
        <v>0</v>
      </c>
      <c r="AU266" s="11">
        <f>SUM(AL267:AL267)</f>
        <v>0</v>
      </c>
    </row>
    <row r="267" spans="1:75" ht="13.5" customHeight="1">
      <c r="A267" s="15" t="s">
        <v>279</v>
      </c>
      <c r="B267" s="4" t="s">
        <v>498</v>
      </c>
      <c r="C267" s="66" t="s">
        <v>151</v>
      </c>
      <c r="D267" s="63"/>
      <c r="E267" s="4" t="s">
        <v>686</v>
      </c>
      <c r="F267" s="45">
        <v>35.549999999999997</v>
      </c>
      <c r="G267" s="45">
        <v>0</v>
      </c>
      <c r="H267" s="45">
        <f>F267*AO267</f>
        <v>0</v>
      </c>
      <c r="I267" s="45">
        <f>F267*AP267</f>
        <v>0</v>
      </c>
      <c r="J267" s="45">
        <f>F267*G267</f>
        <v>0</v>
      </c>
      <c r="K267" s="43" t="s">
        <v>319</v>
      </c>
      <c r="Z267" s="45">
        <f>IF(AQ267="5",BJ267,0)</f>
        <v>0</v>
      </c>
      <c r="AB267" s="45">
        <f>IF(AQ267="1",BH267,0)</f>
        <v>0</v>
      </c>
      <c r="AC267" s="45">
        <f>IF(AQ267="1",BI267,0)</f>
        <v>0</v>
      </c>
      <c r="AD267" s="45">
        <f>IF(AQ267="7",BH267,0)</f>
        <v>0</v>
      </c>
      <c r="AE267" s="45">
        <f>IF(AQ267="7",BI267,0)</f>
        <v>0</v>
      </c>
      <c r="AF267" s="45">
        <f>IF(AQ267="2",BH267,0)</f>
        <v>0</v>
      </c>
      <c r="AG267" s="45">
        <f>IF(AQ267="2",BI267,0)</f>
        <v>0</v>
      </c>
      <c r="AH267" s="45">
        <f>IF(AQ267="0",BJ267,0)</f>
        <v>0</v>
      </c>
      <c r="AI267" s="22" t="s">
        <v>495</v>
      </c>
      <c r="AJ267" s="45">
        <f>IF(AN267=0,J267,0)</f>
        <v>0</v>
      </c>
      <c r="AK267" s="45">
        <f>IF(AN267=12,J267,0)</f>
        <v>0</v>
      </c>
      <c r="AL267" s="45">
        <f>IF(AN267=21,J267,0)</f>
        <v>0</v>
      </c>
      <c r="AN267" s="45">
        <v>21</v>
      </c>
      <c r="AO267" s="45">
        <f>G267*0.100322580645161</f>
        <v>0</v>
      </c>
      <c r="AP267" s="45">
        <f>G267*(1-0.100322580645161)</f>
        <v>0</v>
      </c>
      <c r="AQ267" s="28" t="s">
        <v>694</v>
      </c>
      <c r="AV267" s="45">
        <f>AW267+AX267</f>
        <v>0</v>
      </c>
      <c r="AW267" s="45">
        <f>F267*AO267</f>
        <v>0</v>
      </c>
      <c r="AX267" s="45">
        <f>F267*AP267</f>
        <v>0</v>
      </c>
      <c r="AY267" s="28" t="s">
        <v>633</v>
      </c>
      <c r="AZ267" s="28" t="s">
        <v>311</v>
      </c>
      <c r="BA267" s="22" t="s">
        <v>544</v>
      </c>
      <c r="BC267" s="45">
        <f>AW267+AX267</f>
        <v>0</v>
      </c>
      <c r="BD267" s="45">
        <f>G267/(100-BE267)*100</f>
        <v>0</v>
      </c>
      <c r="BE267" s="45">
        <v>0</v>
      </c>
      <c r="BF267" s="45">
        <f>267</f>
        <v>267</v>
      </c>
      <c r="BH267" s="45">
        <f>F267*AO267</f>
        <v>0</v>
      </c>
      <c r="BI267" s="45">
        <f>F267*AP267</f>
        <v>0</v>
      </c>
      <c r="BJ267" s="45">
        <f>F267*G267</f>
        <v>0</v>
      </c>
      <c r="BK267" s="45"/>
      <c r="BL267" s="45">
        <v>784</v>
      </c>
      <c r="BW267" s="45">
        <v>21</v>
      </c>
    </row>
    <row r="268" spans="1:75" ht="15" customHeight="1">
      <c r="A268" s="49"/>
      <c r="C268" s="12" t="s">
        <v>493</v>
      </c>
      <c r="D268" s="12" t="s">
        <v>495</v>
      </c>
      <c r="F268" s="47">
        <v>35.550000000000004</v>
      </c>
      <c r="K268" s="16"/>
    </row>
    <row r="269" spans="1:75" ht="15" customHeight="1">
      <c r="A269" s="42" t="s">
        <v>495</v>
      </c>
      <c r="B269" s="39" t="s">
        <v>391</v>
      </c>
      <c r="C269" s="79" t="s">
        <v>766</v>
      </c>
      <c r="D269" s="80"/>
      <c r="E269" s="27" t="s">
        <v>653</v>
      </c>
      <c r="F269" s="27" t="s">
        <v>653</v>
      </c>
      <c r="G269" s="27" t="s">
        <v>653</v>
      </c>
      <c r="H269" s="11">
        <f>SUM(H270:H270)</f>
        <v>0</v>
      </c>
      <c r="I269" s="11">
        <f>SUM(I270:I270)</f>
        <v>0</v>
      </c>
      <c r="J269" s="11">
        <f>SUM(J270:J270)</f>
        <v>0</v>
      </c>
      <c r="K269" s="50" t="s">
        <v>495</v>
      </c>
      <c r="AI269" s="22" t="s">
        <v>495</v>
      </c>
      <c r="AS269" s="11">
        <f>SUM(AJ270:AJ270)</f>
        <v>0</v>
      </c>
      <c r="AT269" s="11">
        <f>SUM(AK270:AK270)</f>
        <v>0</v>
      </c>
      <c r="AU269" s="11">
        <f>SUM(AL270:AL270)</f>
        <v>0</v>
      </c>
    </row>
    <row r="270" spans="1:75" ht="13.5" customHeight="1">
      <c r="A270" s="15" t="s">
        <v>401</v>
      </c>
      <c r="B270" s="4" t="s">
        <v>309</v>
      </c>
      <c r="C270" s="66" t="s">
        <v>144</v>
      </c>
      <c r="D270" s="63"/>
      <c r="E270" s="4" t="s">
        <v>168</v>
      </c>
      <c r="F270" s="45">
        <v>10</v>
      </c>
      <c r="G270" s="45">
        <v>0</v>
      </c>
      <c r="H270" s="45">
        <f>F270*AO270</f>
        <v>0</v>
      </c>
      <c r="I270" s="45">
        <f>F270*AP270</f>
        <v>0</v>
      </c>
      <c r="J270" s="45">
        <f>F270*G270</f>
        <v>0</v>
      </c>
      <c r="K270" s="43" t="s">
        <v>319</v>
      </c>
      <c r="Z270" s="45">
        <f>IF(AQ270="5",BJ270,0)</f>
        <v>0</v>
      </c>
      <c r="AB270" s="45">
        <f>IF(AQ270="1",BH270,0)</f>
        <v>0</v>
      </c>
      <c r="AC270" s="45">
        <f>IF(AQ270="1",BI270,0)</f>
        <v>0</v>
      </c>
      <c r="AD270" s="45">
        <f>IF(AQ270="7",BH270,0)</f>
        <v>0</v>
      </c>
      <c r="AE270" s="45">
        <f>IF(AQ270="7",BI270,0)</f>
        <v>0</v>
      </c>
      <c r="AF270" s="45">
        <f>IF(AQ270="2",BH270,0)</f>
        <v>0</v>
      </c>
      <c r="AG270" s="45">
        <f>IF(AQ270="2",BI270,0)</f>
        <v>0</v>
      </c>
      <c r="AH270" s="45">
        <f>IF(AQ270="0",BJ270,0)</f>
        <v>0</v>
      </c>
      <c r="AI270" s="22" t="s">
        <v>495</v>
      </c>
      <c r="AJ270" s="45">
        <f>IF(AN270=0,J270,0)</f>
        <v>0</v>
      </c>
      <c r="AK270" s="45">
        <f>IF(AN270=12,J270,0)</f>
        <v>0</v>
      </c>
      <c r="AL270" s="45">
        <f>IF(AN270=21,J270,0)</f>
        <v>0</v>
      </c>
      <c r="AN270" s="45">
        <v>21</v>
      </c>
      <c r="AO270" s="45">
        <f>G270*0.912975940807061</f>
        <v>0</v>
      </c>
      <c r="AP270" s="45">
        <f>G270*(1-0.912975940807061)</f>
        <v>0</v>
      </c>
      <c r="AQ270" s="28" t="s">
        <v>694</v>
      </c>
      <c r="AV270" s="45">
        <f>AW270+AX270</f>
        <v>0</v>
      </c>
      <c r="AW270" s="45">
        <f>F270*AO270</f>
        <v>0</v>
      </c>
      <c r="AX270" s="45">
        <f>F270*AP270</f>
        <v>0</v>
      </c>
      <c r="AY270" s="28" t="s">
        <v>477</v>
      </c>
      <c r="AZ270" s="28" t="s">
        <v>311</v>
      </c>
      <c r="BA270" s="22" t="s">
        <v>544</v>
      </c>
      <c r="BC270" s="45">
        <f>AW270+AX270</f>
        <v>0</v>
      </c>
      <c r="BD270" s="45">
        <f>G270/(100-BE270)*100</f>
        <v>0</v>
      </c>
      <c r="BE270" s="45">
        <v>0</v>
      </c>
      <c r="BF270" s="45">
        <f>270</f>
        <v>270</v>
      </c>
      <c r="BH270" s="45">
        <f>F270*AO270</f>
        <v>0</v>
      </c>
      <c r="BI270" s="45">
        <f>F270*AP270</f>
        <v>0</v>
      </c>
      <c r="BJ270" s="45">
        <f>F270*G270</f>
        <v>0</v>
      </c>
      <c r="BK270" s="45"/>
      <c r="BL270" s="45">
        <v>786</v>
      </c>
      <c r="BW270" s="45">
        <v>21</v>
      </c>
    </row>
    <row r="271" spans="1:75" ht="15" customHeight="1">
      <c r="A271" s="49"/>
      <c r="C271" s="12" t="s">
        <v>536</v>
      </c>
      <c r="D271" s="12" t="s">
        <v>495</v>
      </c>
      <c r="F271" s="47">
        <v>10</v>
      </c>
      <c r="K271" s="16"/>
    </row>
    <row r="272" spans="1:75" ht="15" customHeight="1">
      <c r="A272" s="42" t="s">
        <v>495</v>
      </c>
      <c r="B272" s="39" t="s">
        <v>13</v>
      </c>
      <c r="C272" s="79" t="s">
        <v>249</v>
      </c>
      <c r="D272" s="80"/>
      <c r="E272" s="27" t="s">
        <v>653</v>
      </c>
      <c r="F272" s="27" t="s">
        <v>653</v>
      </c>
      <c r="G272" s="27" t="s">
        <v>653</v>
      </c>
      <c r="H272" s="11">
        <f>SUM(H273:H275)</f>
        <v>0</v>
      </c>
      <c r="I272" s="11">
        <f>SUM(I273:I275)</f>
        <v>0</v>
      </c>
      <c r="J272" s="11">
        <f>SUM(J273:J275)</f>
        <v>0</v>
      </c>
      <c r="K272" s="50" t="s">
        <v>495</v>
      </c>
      <c r="AI272" s="22" t="s">
        <v>495</v>
      </c>
      <c r="AS272" s="11">
        <f>SUM(AJ273:AJ275)</f>
        <v>0</v>
      </c>
      <c r="AT272" s="11">
        <f>SUM(AK273:AK275)</f>
        <v>0</v>
      </c>
      <c r="AU272" s="11">
        <f>SUM(AL273:AL275)</f>
        <v>0</v>
      </c>
    </row>
    <row r="273" spans="1:75" ht="13.5" customHeight="1">
      <c r="A273" s="15" t="s">
        <v>66</v>
      </c>
      <c r="B273" s="4" t="s">
        <v>85</v>
      </c>
      <c r="C273" s="66" t="s">
        <v>354</v>
      </c>
      <c r="D273" s="63"/>
      <c r="E273" s="4" t="s">
        <v>584</v>
      </c>
      <c r="F273" s="45">
        <v>22</v>
      </c>
      <c r="G273" s="45">
        <v>0</v>
      </c>
      <c r="H273" s="45">
        <f>F273*AO273</f>
        <v>0</v>
      </c>
      <c r="I273" s="45">
        <f>F273*AP273</f>
        <v>0</v>
      </c>
      <c r="J273" s="45">
        <f>F273*G273</f>
        <v>0</v>
      </c>
      <c r="K273" s="43" t="s">
        <v>319</v>
      </c>
      <c r="Z273" s="45">
        <f>IF(AQ273="5",BJ273,0)</f>
        <v>0</v>
      </c>
      <c r="AB273" s="45">
        <f>IF(AQ273="1",BH273,0)</f>
        <v>0</v>
      </c>
      <c r="AC273" s="45">
        <f>IF(AQ273="1",BI273,0)</f>
        <v>0</v>
      </c>
      <c r="AD273" s="45">
        <f>IF(AQ273="7",BH273,0)</f>
        <v>0</v>
      </c>
      <c r="AE273" s="45">
        <f>IF(AQ273="7",BI273,0)</f>
        <v>0</v>
      </c>
      <c r="AF273" s="45">
        <f>IF(AQ273="2",BH273,0)</f>
        <v>0</v>
      </c>
      <c r="AG273" s="45">
        <f>IF(AQ273="2",BI273,0)</f>
        <v>0</v>
      </c>
      <c r="AH273" s="45">
        <f>IF(AQ273="0",BJ273,0)</f>
        <v>0</v>
      </c>
      <c r="AI273" s="22" t="s">
        <v>495</v>
      </c>
      <c r="AJ273" s="45">
        <f>IF(AN273=0,J273,0)</f>
        <v>0</v>
      </c>
      <c r="AK273" s="45">
        <f>IF(AN273=12,J273,0)</f>
        <v>0</v>
      </c>
      <c r="AL273" s="45">
        <f>IF(AN273=21,J273,0)</f>
        <v>0</v>
      </c>
      <c r="AN273" s="45">
        <v>21</v>
      </c>
      <c r="AO273" s="45">
        <f>G273*0.67296992481203</f>
        <v>0</v>
      </c>
      <c r="AP273" s="45">
        <f>G273*(1-0.67296992481203)</f>
        <v>0</v>
      </c>
      <c r="AQ273" s="28" t="s">
        <v>692</v>
      </c>
      <c r="AV273" s="45">
        <f>AW273+AX273</f>
        <v>0</v>
      </c>
      <c r="AW273" s="45">
        <f>F273*AO273</f>
        <v>0</v>
      </c>
      <c r="AX273" s="45">
        <f>F273*AP273</f>
        <v>0</v>
      </c>
      <c r="AY273" s="28" t="s">
        <v>681</v>
      </c>
      <c r="AZ273" s="28" t="s">
        <v>247</v>
      </c>
      <c r="BA273" s="22" t="s">
        <v>544</v>
      </c>
      <c r="BC273" s="45">
        <f>AW273+AX273</f>
        <v>0</v>
      </c>
      <c r="BD273" s="45">
        <f>G273/(100-BE273)*100</f>
        <v>0</v>
      </c>
      <c r="BE273" s="45">
        <v>0</v>
      </c>
      <c r="BF273" s="45">
        <f>273</f>
        <v>273</v>
      </c>
      <c r="BH273" s="45">
        <f>F273*AO273</f>
        <v>0</v>
      </c>
      <c r="BI273" s="45">
        <f>F273*AP273</f>
        <v>0</v>
      </c>
      <c r="BJ273" s="45">
        <f>F273*G273</f>
        <v>0</v>
      </c>
      <c r="BK273" s="45"/>
      <c r="BL273" s="45">
        <v>91</v>
      </c>
      <c r="BW273" s="45">
        <v>21</v>
      </c>
    </row>
    <row r="274" spans="1:75" ht="15" customHeight="1">
      <c r="A274" s="49"/>
      <c r="C274" s="12" t="s">
        <v>781</v>
      </c>
      <c r="D274" s="12" t="s">
        <v>495</v>
      </c>
      <c r="F274" s="47">
        <v>22.000000000000004</v>
      </c>
      <c r="K274" s="16"/>
    </row>
    <row r="275" spans="1:75" ht="13.5" customHeight="1">
      <c r="A275" s="15" t="s">
        <v>499</v>
      </c>
      <c r="B275" s="4" t="s">
        <v>610</v>
      </c>
      <c r="C275" s="66" t="s">
        <v>469</v>
      </c>
      <c r="D275" s="63"/>
      <c r="E275" s="4" t="s">
        <v>168</v>
      </c>
      <c r="F275" s="45">
        <v>22</v>
      </c>
      <c r="G275" s="45">
        <v>0</v>
      </c>
      <c r="H275" s="45">
        <f>F275*AO275</f>
        <v>0</v>
      </c>
      <c r="I275" s="45">
        <f>F275*AP275</f>
        <v>0</v>
      </c>
      <c r="J275" s="45">
        <f>F275*G275</f>
        <v>0</v>
      </c>
      <c r="K275" s="43" t="s">
        <v>319</v>
      </c>
      <c r="Z275" s="45">
        <f>IF(AQ275="5",BJ275,0)</f>
        <v>0</v>
      </c>
      <c r="AB275" s="45">
        <f>IF(AQ275="1",BH275,0)</f>
        <v>0</v>
      </c>
      <c r="AC275" s="45">
        <f>IF(AQ275="1",BI275,0)</f>
        <v>0</v>
      </c>
      <c r="AD275" s="45">
        <f>IF(AQ275="7",BH275,0)</f>
        <v>0</v>
      </c>
      <c r="AE275" s="45">
        <f>IF(AQ275="7",BI275,0)</f>
        <v>0</v>
      </c>
      <c r="AF275" s="45">
        <f>IF(AQ275="2",BH275,0)</f>
        <v>0</v>
      </c>
      <c r="AG275" s="45">
        <f>IF(AQ275="2",BI275,0)</f>
        <v>0</v>
      </c>
      <c r="AH275" s="45">
        <f>IF(AQ275="0",BJ275,0)</f>
        <v>0</v>
      </c>
      <c r="AI275" s="22" t="s">
        <v>495</v>
      </c>
      <c r="AJ275" s="45">
        <f>IF(AN275=0,J275,0)</f>
        <v>0</v>
      </c>
      <c r="AK275" s="45">
        <f>IF(AN275=12,J275,0)</f>
        <v>0</v>
      </c>
      <c r="AL275" s="45">
        <f>IF(AN275=21,J275,0)</f>
        <v>0</v>
      </c>
      <c r="AN275" s="45">
        <v>21</v>
      </c>
      <c r="AO275" s="45">
        <f>G275*1</f>
        <v>0</v>
      </c>
      <c r="AP275" s="45">
        <f>G275*(1-1)</f>
        <v>0</v>
      </c>
      <c r="AQ275" s="28" t="s">
        <v>692</v>
      </c>
      <c r="AV275" s="45">
        <f>AW275+AX275</f>
        <v>0</v>
      </c>
      <c r="AW275" s="45">
        <f>F275*AO275</f>
        <v>0</v>
      </c>
      <c r="AX275" s="45">
        <f>F275*AP275</f>
        <v>0</v>
      </c>
      <c r="AY275" s="28" t="s">
        <v>681</v>
      </c>
      <c r="AZ275" s="28" t="s">
        <v>247</v>
      </c>
      <c r="BA275" s="22" t="s">
        <v>544</v>
      </c>
      <c r="BC275" s="45">
        <f>AW275+AX275</f>
        <v>0</v>
      </c>
      <c r="BD275" s="45">
        <f>G275/(100-BE275)*100</f>
        <v>0</v>
      </c>
      <c r="BE275" s="45">
        <v>0</v>
      </c>
      <c r="BF275" s="45">
        <f>275</f>
        <v>275</v>
      </c>
      <c r="BH275" s="45">
        <f>F275*AO275</f>
        <v>0</v>
      </c>
      <c r="BI275" s="45">
        <f>F275*AP275</f>
        <v>0</v>
      </c>
      <c r="BJ275" s="45">
        <f>F275*G275</f>
        <v>0</v>
      </c>
      <c r="BK275" s="45"/>
      <c r="BL275" s="45">
        <v>91</v>
      </c>
      <c r="BW275" s="45">
        <v>21</v>
      </c>
    </row>
    <row r="276" spans="1:75" ht="15" customHeight="1">
      <c r="A276" s="49"/>
      <c r="C276" s="12" t="s">
        <v>781</v>
      </c>
      <c r="D276" s="12" t="s">
        <v>495</v>
      </c>
      <c r="F276" s="47">
        <v>22.000000000000004</v>
      </c>
      <c r="K276" s="16"/>
    </row>
    <row r="277" spans="1:75" ht="15" customHeight="1">
      <c r="A277" s="42" t="s">
        <v>495</v>
      </c>
      <c r="B277" s="39" t="s">
        <v>68</v>
      </c>
      <c r="C277" s="79" t="s">
        <v>501</v>
      </c>
      <c r="D277" s="80"/>
      <c r="E277" s="27" t="s">
        <v>653</v>
      </c>
      <c r="F277" s="27" t="s">
        <v>653</v>
      </c>
      <c r="G277" s="27" t="s">
        <v>653</v>
      </c>
      <c r="H277" s="11">
        <f>SUM(H278:H297)</f>
        <v>0</v>
      </c>
      <c r="I277" s="11">
        <f>SUM(I278:I297)</f>
        <v>0</v>
      </c>
      <c r="J277" s="11">
        <f>SUM(J278:J297)</f>
        <v>0</v>
      </c>
      <c r="K277" s="50" t="s">
        <v>495</v>
      </c>
      <c r="AI277" s="22" t="s">
        <v>495</v>
      </c>
      <c r="AS277" s="11">
        <f>SUM(AJ278:AJ297)</f>
        <v>0</v>
      </c>
      <c r="AT277" s="11">
        <f>SUM(AK278:AK297)</f>
        <v>0</v>
      </c>
      <c r="AU277" s="11">
        <f>SUM(AL278:AL297)</f>
        <v>0</v>
      </c>
    </row>
    <row r="278" spans="1:75" ht="13.5" customHeight="1">
      <c r="A278" s="15" t="s">
        <v>341</v>
      </c>
      <c r="B278" s="4" t="s">
        <v>329</v>
      </c>
      <c r="C278" s="66" t="s">
        <v>638</v>
      </c>
      <c r="D278" s="63"/>
      <c r="E278" s="4" t="s">
        <v>686</v>
      </c>
      <c r="F278" s="45">
        <v>333.42</v>
      </c>
      <c r="G278" s="45">
        <v>0</v>
      </c>
      <c r="H278" s="45">
        <f>F278*AO278</f>
        <v>0</v>
      </c>
      <c r="I278" s="45">
        <f>F278*AP278</f>
        <v>0</v>
      </c>
      <c r="J278" s="45">
        <f>F278*G278</f>
        <v>0</v>
      </c>
      <c r="K278" s="43" t="s">
        <v>319</v>
      </c>
      <c r="Z278" s="45">
        <f>IF(AQ278="5",BJ278,0)</f>
        <v>0</v>
      </c>
      <c r="AB278" s="45">
        <f>IF(AQ278="1",BH278,0)</f>
        <v>0</v>
      </c>
      <c r="AC278" s="45">
        <f>IF(AQ278="1",BI278,0)</f>
        <v>0</v>
      </c>
      <c r="AD278" s="45">
        <f>IF(AQ278="7",BH278,0)</f>
        <v>0</v>
      </c>
      <c r="AE278" s="45">
        <f>IF(AQ278="7",BI278,0)</f>
        <v>0</v>
      </c>
      <c r="AF278" s="45">
        <f>IF(AQ278="2",BH278,0)</f>
        <v>0</v>
      </c>
      <c r="AG278" s="45">
        <f>IF(AQ278="2",BI278,0)</f>
        <v>0</v>
      </c>
      <c r="AH278" s="45">
        <f>IF(AQ278="0",BJ278,0)</f>
        <v>0</v>
      </c>
      <c r="AI278" s="22" t="s">
        <v>495</v>
      </c>
      <c r="AJ278" s="45">
        <f>IF(AN278=0,J278,0)</f>
        <v>0</v>
      </c>
      <c r="AK278" s="45">
        <f>IF(AN278=12,J278,0)</f>
        <v>0</v>
      </c>
      <c r="AL278" s="45">
        <f>IF(AN278=21,J278,0)</f>
        <v>0</v>
      </c>
      <c r="AN278" s="45">
        <v>21</v>
      </c>
      <c r="AO278" s="45">
        <f>G278*0.000532623211649915</f>
        <v>0</v>
      </c>
      <c r="AP278" s="45">
        <f>G278*(1-0.000532623211649915)</f>
        <v>0</v>
      </c>
      <c r="AQ278" s="28" t="s">
        <v>692</v>
      </c>
      <c r="AV278" s="45">
        <f>AW278+AX278</f>
        <v>0</v>
      </c>
      <c r="AW278" s="45">
        <f>F278*AO278</f>
        <v>0</v>
      </c>
      <c r="AX278" s="45">
        <f>F278*AP278</f>
        <v>0</v>
      </c>
      <c r="AY278" s="28" t="s">
        <v>759</v>
      </c>
      <c r="AZ278" s="28" t="s">
        <v>247</v>
      </c>
      <c r="BA278" s="22" t="s">
        <v>544</v>
      </c>
      <c r="BC278" s="45">
        <f>AW278+AX278</f>
        <v>0</v>
      </c>
      <c r="BD278" s="45">
        <f>G278/(100-BE278)*100</f>
        <v>0</v>
      </c>
      <c r="BE278" s="45">
        <v>0</v>
      </c>
      <c r="BF278" s="45">
        <f>278</f>
        <v>278</v>
      </c>
      <c r="BH278" s="45">
        <f>F278*AO278</f>
        <v>0</v>
      </c>
      <c r="BI278" s="45">
        <f>F278*AP278</f>
        <v>0</v>
      </c>
      <c r="BJ278" s="45">
        <f>F278*G278</f>
        <v>0</v>
      </c>
      <c r="BK278" s="45"/>
      <c r="BL278" s="45">
        <v>94</v>
      </c>
      <c r="BW278" s="45">
        <v>21</v>
      </c>
    </row>
    <row r="279" spans="1:75" ht="15" customHeight="1">
      <c r="A279" s="49"/>
      <c r="C279" s="12" t="s">
        <v>732</v>
      </c>
      <c r="D279" s="12" t="s">
        <v>495</v>
      </c>
      <c r="F279" s="47">
        <v>68.400000000000006</v>
      </c>
      <c r="K279" s="16"/>
    </row>
    <row r="280" spans="1:75" ht="15" customHeight="1">
      <c r="A280" s="49"/>
      <c r="C280" s="12" t="s">
        <v>773</v>
      </c>
      <c r="D280" s="12" t="s">
        <v>495</v>
      </c>
      <c r="F280" s="47">
        <v>72</v>
      </c>
      <c r="K280" s="16"/>
    </row>
    <row r="281" spans="1:75" ht="15" customHeight="1">
      <c r="A281" s="49"/>
      <c r="C281" s="12" t="s">
        <v>407</v>
      </c>
      <c r="D281" s="12" t="s">
        <v>495</v>
      </c>
      <c r="F281" s="47">
        <v>41.760000000000005</v>
      </c>
      <c r="K281" s="16"/>
    </row>
    <row r="282" spans="1:75" ht="15" customHeight="1">
      <c r="A282" s="49"/>
      <c r="C282" s="12" t="s">
        <v>229</v>
      </c>
      <c r="D282" s="12" t="s">
        <v>495</v>
      </c>
      <c r="F282" s="47">
        <v>39.96</v>
      </c>
      <c r="K282" s="16"/>
    </row>
    <row r="283" spans="1:75" ht="15" customHeight="1">
      <c r="A283" s="49"/>
      <c r="C283" s="12" t="s">
        <v>624</v>
      </c>
      <c r="D283" s="12" t="s">
        <v>495</v>
      </c>
      <c r="F283" s="47">
        <v>78</v>
      </c>
      <c r="K283" s="16"/>
    </row>
    <row r="284" spans="1:75" ht="15" customHeight="1">
      <c r="A284" s="49"/>
      <c r="C284" s="12" t="s">
        <v>423</v>
      </c>
      <c r="D284" s="12" t="s">
        <v>495</v>
      </c>
      <c r="F284" s="47">
        <v>33.300000000000004</v>
      </c>
      <c r="K284" s="16"/>
    </row>
    <row r="285" spans="1:75" ht="13.5" customHeight="1">
      <c r="A285" s="15" t="s">
        <v>580</v>
      </c>
      <c r="B285" s="4" t="s">
        <v>39</v>
      </c>
      <c r="C285" s="66" t="s">
        <v>299</v>
      </c>
      <c r="D285" s="63"/>
      <c r="E285" s="4" t="s">
        <v>686</v>
      </c>
      <c r="F285" s="45">
        <v>1000.26</v>
      </c>
      <c r="G285" s="45">
        <v>0</v>
      </c>
      <c r="H285" s="45">
        <f>F285*AO285</f>
        <v>0</v>
      </c>
      <c r="I285" s="45">
        <f>F285*AP285</f>
        <v>0</v>
      </c>
      <c r="J285" s="45">
        <f>F285*G285</f>
        <v>0</v>
      </c>
      <c r="K285" s="43" t="s">
        <v>319</v>
      </c>
      <c r="Z285" s="45">
        <f>IF(AQ285="5",BJ285,0)</f>
        <v>0</v>
      </c>
      <c r="AB285" s="45">
        <f>IF(AQ285="1",BH285,0)</f>
        <v>0</v>
      </c>
      <c r="AC285" s="45">
        <f>IF(AQ285="1",BI285,0)</f>
        <v>0</v>
      </c>
      <c r="AD285" s="45">
        <f>IF(AQ285="7",BH285,0)</f>
        <v>0</v>
      </c>
      <c r="AE285" s="45">
        <f>IF(AQ285="7",BI285,0)</f>
        <v>0</v>
      </c>
      <c r="AF285" s="45">
        <f>IF(AQ285="2",BH285,0)</f>
        <v>0</v>
      </c>
      <c r="AG285" s="45">
        <f>IF(AQ285="2",BI285,0)</f>
        <v>0</v>
      </c>
      <c r="AH285" s="45">
        <f>IF(AQ285="0",BJ285,0)</f>
        <v>0</v>
      </c>
      <c r="AI285" s="22" t="s">
        <v>495</v>
      </c>
      <c r="AJ285" s="45">
        <f>IF(AN285=0,J285,0)</f>
        <v>0</v>
      </c>
      <c r="AK285" s="45">
        <f>IF(AN285=12,J285,0)</f>
        <v>0</v>
      </c>
      <c r="AL285" s="45">
        <f>IF(AN285=21,J285,0)</f>
        <v>0</v>
      </c>
      <c r="AN285" s="45">
        <v>21</v>
      </c>
      <c r="AO285" s="45">
        <f>G285*0.946943818698524</f>
        <v>0</v>
      </c>
      <c r="AP285" s="45">
        <f>G285*(1-0.946943818698524)</f>
        <v>0</v>
      </c>
      <c r="AQ285" s="28" t="s">
        <v>692</v>
      </c>
      <c r="AV285" s="45">
        <f>AW285+AX285</f>
        <v>0</v>
      </c>
      <c r="AW285" s="45">
        <f>F285*AO285</f>
        <v>0</v>
      </c>
      <c r="AX285" s="45">
        <f>F285*AP285</f>
        <v>0</v>
      </c>
      <c r="AY285" s="28" t="s">
        <v>759</v>
      </c>
      <c r="AZ285" s="28" t="s">
        <v>247</v>
      </c>
      <c r="BA285" s="22" t="s">
        <v>544</v>
      </c>
      <c r="BC285" s="45">
        <f>AW285+AX285</f>
        <v>0</v>
      </c>
      <c r="BD285" s="45">
        <f>G285/(100-BE285)*100</f>
        <v>0</v>
      </c>
      <c r="BE285" s="45">
        <v>0</v>
      </c>
      <c r="BF285" s="45">
        <f>285</f>
        <v>285</v>
      </c>
      <c r="BH285" s="45">
        <f>F285*AO285</f>
        <v>0</v>
      </c>
      <c r="BI285" s="45">
        <f>F285*AP285</f>
        <v>0</v>
      </c>
      <c r="BJ285" s="45">
        <f>F285*G285</f>
        <v>0</v>
      </c>
      <c r="BK285" s="45"/>
      <c r="BL285" s="45">
        <v>94</v>
      </c>
      <c r="BW285" s="45">
        <v>21</v>
      </c>
    </row>
    <row r="286" spans="1:75" ht="15" customHeight="1">
      <c r="A286" s="49"/>
      <c r="C286" s="12" t="s">
        <v>608</v>
      </c>
      <c r="D286" s="12" t="s">
        <v>495</v>
      </c>
      <c r="F286" s="47">
        <v>1000.2600000000001</v>
      </c>
      <c r="K286" s="16"/>
    </row>
    <row r="287" spans="1:75" ht="13.5" customHeight="1">
      <c r="A287" s="15" t="s">
        <v>648</v>
      </c>
      <c r="B287" s="4" t="s">
        <v>778</v>
      </c>
      <c r="C287" s="66" t="s">
        <v>234</v>
      </c>
      <c r="D287" s="63"/>
      <c r="E287" s="4" t="s">
        <v>686</v>
      </c>
      <c r="F287" s="45">
        <v>333.42</v>
      </c>
      <c r="G287" s="45">
        <v>0</v>
      </c>
      <c r="H287" s="45">
        <f>F287*AO287</f>
        <v>0</v>
      </c>
      <c r="I287" s="45">
        <f>F287*AP287</f>
        <v>0</v>
      </c>
      <c r="J287" s="45">
        <f>F287*G287</f>
        <v>0</v>
      </c>
      <c r="K287" s="43" t="s">
        <v>319</v>
      </c>
      <c r="Z287" s="45">
        <f>IF(AQ287="5",BJ287,0)</f>
        <v>0</v>
      </c>
      <c r="AB287" s="45">
        <f>IF(AQ287="1",BH287,0)</f>
        <v>0</v>
      </c>
      <c r="AC287" s="45">
        <f>IF(AQ287="1",BI287,0)</f>
        <v>0</v>
      </c>
      <c r="AD287" s="45">
        <f>IF(AQ287="7",BH287,0)</f>
        <v>0</v>
      </c>
      <c r="AE287" s="45">
        <f>IF(AQ287="7",BI287,0)</f>
        <v>0</v>
      </c>
      <c r="AF287" s="45">
        <f>IF(AQ287="2",BH287,0)</f>
        <v>0</v>
      </c>
      <c r="AG287" s="45">
        <f>IF(AQ287="2",BI287,0)</f>
        <v>0</v>
      </c>
      <c r="AH287" s="45">
        <f>IF(AQ287="0",BJ287,0)</f>
        <v>0</v>
      </c>
      <c r="AI287" s="22" t="s">
        <v>495</v>
      </c>
      <c r="AJ287" s="45">
        <f>IF(AN287=0,J287,0)</f>
        <v>0</v>
      </c>
      <c r="AK287" s="45">
        <f>IF(AN287=12,J287,0)</f>
        <v>0</v>
      </c>
      <c r="AL287" s="45">
        <f>IF(AN287=21,J287,0)</f>
        <v>0</v>
      </c>
      <c r="AN287" s="45">
        <v>21</v>
      </c>
      <c r="AO287" s="45">
        <f>G287*0</f>
        <v>0</v>
      </c>
      <c r="AP287" s="45">
        <f>G287*(1-0)</f>
        <v>0</v>
      </c>
      <c r="AQ287" s="28" t="s">
        <v>692</v>
      </c>
      <c r="AV287" s="45">
        <f>AW287+AX287</f>
        <v>0</v>
      </c>
      <c r="AW287" s="45">
        <f>F287*AO287</f>
        <v>0</v>
      </c>
      <c r="AX287" s="45">
        <f>F287*AP287</f>
        <v>0</v>
      </c>
      <c r="AY287" s="28" t="s">
        <v>759</v>
      </c>
      <c r="AZ287" s="28" t="s">
        <v>247</v>
      </c>
      <c r="BA287" s="22" t="s">
        <v>544</v>
      </c>
      <c r="BC287" s="45">
        <f>AW287+AX287</f>
        <v>0</v>
      </c>
      <c r="BD287" s="45">
        <f>G287/(100-BE287)*100</f>
        <v>0</v>
      </c>
      <c r="BE287" s="45">
        <v>0</v>
      </c>
      <c r="BF287" s="45">
        <f>287</f>
        <v>287</v>
      </c>
      <c r="BH287" s="45">
        <f>F287*AO287</f>
        <v>0</v>
      </c>
      <c r="BI287" s="45">
        <f>F287*AP287</f>
        <v>0</v>
      </c>
      <c r="BJ287" s="45">
        <f>F287*G287</f>
        <v>0</v>
      </c>
      <c r="BK287" s="45"/>
      <c r="BL287" s="45">
        <v>94</v>
      </c>
      <c r="BW287" s="45">
        <v>21</v>
      </c>
    </row>
    <row r="288" spans="1:75" ht="15" customHeight="1">
      <c r="A288" s="49"/>
      <c r="C288" s="12" t="s">
        <v>17</v>
      </c>
      <c r="D288" s="12" t="s">
        <v>495</v>
      </c>
      <c r="F288" s="47">
        <v>333.42</v>
      </c>
      <c r="K288" s="16"/>
    </row>
    <row r="289" spans="1:75" ht="13.5" customHeight="1">
      <c r="A289" s="15" t="s">
        <v>620</v>
      </c>
      <c r="B289" s="4" t="s">
        <v>245</v>
      </c>
      <c r="C289" s="66" t="s">
        <v>290</v>
      </c>
      <c r="D289" s="63"/>
      <c r="E289" s="4" t="s">
        <v>686</v>
      </c>
      <c r="F289" s="45">
        <v>333.42</v>
      </c>
      <c r="G289" s="45">
        <v>0</v>
      </c>
      <c r="H289" s="45">
        <f>F289*AO289</f>
        <v>0</v>
      </c>
      <c r="I289" s="45">
        <f>F289*AP289</f>
        <v>0</v>
      </c>
      <c r="J289" s="45">
        <f>F289*G289</f>
        <v>0</v>
      </c>
      <c r="K289" s="43" t="s">
        <v>319</v>
      </c>
      <c r="Z289" s="45">
        <f>IF(AQ289="5",BJ289,0)</f>
        <v>0</v>
      </c>
      <c r="AB289" s="45">
        <f>IF(AQ289="1",BH289,0)</f>
        <v>0</v>
      </c>
      <c r="AC289" s="45">
        <f>IF(AQ289="1",BI289,0)</f>
        <v>0</v>
      </c>
      <c r="AD289" s="45">
        <f>IF(AQ289="7",BH289,0)</f>
        <v>0</v>
      </c>
      <c r="AE289" s="45">
        <f>IF(AQ289="7",BI289,0)</f>
        <v>0</v>
      </c>
      <c r="AF289" s="45">
        <f>IF(AQ289="2",BH289,0)</f>
        <v>0</v>
      </c>
      <c r="AG289" s="45">
        <f>IF(AQ289="2",BI289,0)</f>
        <v>0</v>
      </c>
      <c r="AH289" s="45">
        <f>IF(AQ289="0",BJ289,0)</f>
        <v>0</v>
      </c>
      <c r="AI289" s="22" t="s">
        <v>495</v>
      </c>
      <c r="AJ289" s="45">
        <f>IF(AN289=0,J289,0)</f>
        <v>0</v>
      </c>
      <c r="AK289" s="45">
        <f>IF(AN289=12,J289,0)</f>
        <v>0</v>
      </c>
      <c r="AL289" s="45">
        <f>IF(AN289=21,J289,0)</f>
        <v>0</v>
      </c>
      <c r="AN289" s="45">
        <v>21</v>
      </c>
      <c r="AO289" s="45">
        <f>G289*0</f>
        <v>0</v>
      </c>
      <c r="AP289" s="45">
        <f>G289*(1-0)</f>
        <v>0</v>
      </c>
      <c r="AQ289" s="28" t="s">
        <v>692</v>
      </c>
      <c r="AV289" s="45">
        <f>AW289+AX289</f>
        <v>0</v>
      </c>
      <c r="AW289" s="45">
        <f>F289*AO289</f>
        <v>0</v>
      </c>
      <c r="AX289" s="45">
        <f>F289*AP289</f>
        <v>0</v>
      </c>
      <c r="AY289" s="28" t="s">
        <v>759</v>
      </c>
      <c r="AZ289" s="28" t="s">
        <v>247</v>
      </c>
      <c r="BA289" s="22" t="s">
        <v>544</v>
      </c>
      <c r="BC289" s="45">
        <f>AW289+AX289</f>
        <v>0</v>
      </c>
      <c r="BD289" s="45">
        <f>G289/(100-BE289)*100</f>
        <v>0</v>
      </c>
      <c r="BE289" s="45">
        <v>0</v>
      </c>
      <c r="BF289" s="45">
        <f>289</f>
        <v>289</v>
      </c>
      <c r="BH289" s="45">
        <f>F289*AO289</f>
        <v>0</v>
      </c>
      <c r="BI289" s="45">
        <f>F289*AP289</f>
        <v>0</v>
      </c>
      <c r="BJ289" s="45">
        <f>F289*G289</f>
        <v>0</v>
      </c>
      <c r="BK289" s="45"/>
      <c r="BL289" s="45">
        <v>94</v>
      </c>
      <c r="BW289" s="45">
        <v>21</v>
      </c>
    </row>
    <row r="290" spans="1:75" ht="15" customHeight="1">
      <c r="A290" s="49"/>
      <c r="C290" s="12" t="s">
        <v>1</v>
      </c>
      <c r="D290" s="12" t="s">
        <v>495</v>
      </c>
      <c r="F290" s="47">
        <v>333.42</v>
      </c>
      <c r="K290" s="16"/>
    </row>
    <row r="291" spans="1:75" ht="13.5" customHeight="1">
      <c r="A291" s="15" t="s">
        <v>11</v>
      </c>
      <c r="B291" s="4" t="s">
        <v>378</v>
      </c>
      <c r="C291" s="66" t="s">
        <v>57</v>
      </c>
      <c r="D291" s="63"/>
      <c r="E291" s="4" t="s">
        <v>686</v>
      </c>
      <c r="F291" s="45">
        <v>1000.26</v>
      </c>
      <c r="G291" s="45">
        <v>0</v>
      </c>
      <c r="H291" s="45">
        <f>F291*AO291</f>
        <v>0</v>
      </c>
      <c r="I291" s="45">
        <f>F291*AP291</f>
        <v>0</v>
      </c>
      <c r="J291" s="45">
        <f>F291*G291</f>
        <v>0</v>
      </c>
      <c r="K291" s="43" t="s">
        <v>319</v>
      </c>
      <c r="Z291" s="45">
        <f>IF(AQ291="5",BJ291,0)</f>
        <v>0</v>
      </c>
      <c r="AB291" s="45">
        <f>IF(AQ291="1",BH291,0)</f>
        <v>0</v>
      </c>
      <c r="AC291" s="45">
        <f>IF(AQ291="1",BI291,0)</f>
        <v>0</v>
      </c>
      <c r="AD291" s="45">
        <f>IF(AQ291="7",BH291,0)</f>
        <v>0</v>
      </c>
      <c r="AE291" s="45">
        <f>IF(AQ291="7",BI291,0)</f>
        <v>0</v>
      </c>
      <c r="AF291" s="45">
        <f>IF(AQ291="2",BH291,0)</f>
        <v>0</v>
      </c>
      <c r="AG291" s="45">
        <f>IF(AQ291="2",BI291,0)</f>
        <v>0</v>
      </c>
      <c r="AH291" s="45">
        <f>IF(AQ291="0",BJ291,0)</f>
        <v>0</v>
      </c>
      <c r="AI291" s="22" t="s">
        <v>495</v>
      </c>
      <c r="AJ291" s="45">
        <f>IF(AN291=0,J291,0)</f>
        <v>0</v>
      </c>
      <c r="AK291" s="45">
        <f>IF(AN291=12,J291,0)</f>
        <v>0</v>
      </c>
      <c r="AL291" s="45">
        <f>IF(AN291=21,J291,0)</f>
        <v>0</v>
      </c>
      <c r="AN291" s="45">
        <v>21</v>
      </c>
      <c r="AO291" s="45">
        <f>G291*0.999999622739739</f>
        <v>0</v>
      </c>
      <c r="AP291" s="45">
        <f>G291*(1-0.999999622739739)</f>
        <v>0</v>
      </c>
      <c r="AQ291" s="28" t="s">
        <v>692</v>
      </c>
      <c r="AV291" s="45">
        <f>AW291+AX291</f>
        <v>0</v>
      </c>
      <c r="AW291" s="45">
        <f>F291*AO291</f>
        <v>0</v>
      </c>
      <c r="AX291" s="45">
        <f>F291*AP291</f>
        <v>0</v>
      </c>
      <c r="AY291" s="28" t="s">
        <v>759</v>
      </c>
      <c r="AZ291" s="28" t="s">
        <v>247</v>
      </c>
      <c r="BA291" s="22" t="s">
        <v>544</v>
      </c>
      <c r="BC291" s="45">
        <f>AW291+AX291</f>
        <v>0</v>
      </c>
      <c r="BD291" s="45">
        <f>G291/(100-BE291)*100</f>
        <v>0</v>
      </c>
      <c r="BE291" s="45">
        <v>0</v>
      </c>
      <c r="BF291" s="45">
        <f>291</f>
        <v>291</v>
      </c>
      <c r="BH291" s="45">
        <f>F291*AO291</f>
        <v>0</v>
      </c>
      <c r="BI291" s="45">
        <f>F291*AP291</f>
        <v>0</v>
      </c>
      <c r="BJ291" s="45">
        <f>F291*G291</f>
        <v>0</v>
      </c>
      <c r="BK291" s="45"/>
      <c r="BL291" s="45">
        <v>94</v>
      </c>
      <c r="BW291" s="45">
        <v>21</v>
      </c>
    </row>
    <row r="292" spans="1:75" ht="15" customHeight="1">
      <c r="A292" s="49"/>
      <c r="C292" s="12" t="s">
        <v>608</v>
      </c>
      <c r="D292" s="12" t="s">
        <v>495</v>
      </c>
      <c r="F292" s="47">
        <v>1000.2600000000001</v>
      </c>
      <c r="K292" s="16"/>
    </row>
    <row r="293" spans="1:75" ht="13.5" customHeight="1">
      <c r="A293" s="15" t="s">
        <v>276</v>
      </c>
      <c r="B293" s="4" t="s">
        <v>71</v>
      </c>
      <c r="C293" s="66" t="s">
        <v>734</v>
      </c>
      <c r="D293" s="63"/>
      <c r="E293" s="4" t="s">
        <v>686</v>
      </c>
      <c r="F293" s="45">
        <v>333.42</v>
      </c>
      <c r="G293" s="45">
        <v>0</v>
      </c>
      <c r="H293" s="45">
        <f>F293*AO293</f>
        <v>0</v>
      </c>
      <c r="I293" s="45">
        <f>F293*AP293</f>
        <v>0</v>
      </c>
      <c r="J293" s="45">
        <f>F293*G293</f>
        <v>0</v>
      </c>
      <c r="K293" s="43" t="s">
        <v>319</v>
      </c>
      <c r="Z293" s="45">
        <f>IF(AQ293="5",BJ293,0)</f>
        <v>0</v>
      </c>
      <c r="AB293" s="45">
        <f>IF(AQ293="1",BH293,0)</f>
        <v>0</v>
      </c>
      <c r="AC293" s="45">
        <f>IF(AQ293="1",BI293,0)</f>
        <v>0</v>
      </c>
      <c r="AD293" s="45">
        <f>IF(AQ293="7",BH293,0)</f>
        <v>0</v>
      </c>
      <c r="AE293" s="45">
        <f>IF(AQ293="7",BI293,0)</f>
        <v>0</v>
      </c>
      <c r="AF293" s="45">
        <f>IF(AQ293="2",BH293,0)</f>
        <v>0</v>
      </c>
      <c r="AG293" s="45">
        <f>IF(AQ293="2",BI293,0)</f>
        <v>0</v>
      </c>
      <c r="AH293" s="45">
        <f>IF(AQ293="0",BJ293,0)</f>
        <v>0</v>
      </c>
      <c r="AI293" s="22" t="s">
        <v>495</v>
      </c>
      <c r="AJ293" s="45">
        <f>IF(AN293=0,J293,0)</f>
        <v>0</v>
      </c>
      <c r="AK293" s="45">
        <f>IF(AN293=12,J293,0)</f>
        <v>0</v>
      </c>
      <c r="AL293" s="45">
        <f>IF(AN293=21,J293,0)</f>
        <v>0</v>
      </c>
      <c r="AN293" s="45">
        <v>21</v>
      </c>
      <c r="AO293" s="45">
        <f>G293*0</f>
        <v>0</v>
      </c>
      <c r="AP293" s="45">
        <f>G293*(1-0)</f>
        <v>0</v>
      </c>
      <c r="AQ293" s="28" t="s">
        <v>692</v>
      </c>
      <c r="AV293" s="45">
        <f>AW293+AX293</f>
        <v>0</v>
      </c>
      <c r="AW293" s="45">
        <f>F293*AO293</f>
        <v>0</v>
      </c>
      <c r="AX293" s="45">
        <f>F293*AP293</f>
        <v>0</v>
      </c>
      <c r="AY293" s="28" t="s">
        <v>759</v>
      </c>
      <c r="AZ293" s="28" t="s">
        <v>247</v>
      </c>
      <c r="BA293" s="22" t="s">
        <v>544</v>
      </c>
      <c r="BC293" s="45">
        <f>AW293+AX293</f>
        <v>0</v>
      </c>
      <c r="BD293" s="45">
        <f>G293/(100-BE293)*100</f>
        <v>0</v>
      </c>
      <c r="BE293" s="45">
        <v>0</v>
      </c>
      <c r="BF293" s="45">
        <f>293</f>
        <v>293</v>
      </c>
      <c r="BH293" s="45">
        <f>F293*AO293</f>
        <v>0</v>
      </c>
      <c r="BI293" s="45">
        <f>F293*AP293</f>
        <v>0</v>
      </c>
      <c r="BJ293" s="45">
        <f>F293*G293</f>
        <v>0</v>
      </c>
      <c r="BK293" s="45"/>
      <c r="BL293" s="45">
        <v>94</v>
      </c>
      <c r="BW293" s="45">
        <v>21</v>
      </c>
    </row>
    <row r="294" spans="1:75" ht="15" customHeight="1">
      <c r="A294" s="49"/>
      <c r="C294" s="12" t="s">
        <v>17</v>
      </c>
      <c r="D294" s="12" t="s">
        <v>495</v>
      </c>
      <c r="F294" s="47">
        <v>333.42</v>
      </c>
      <c r="K294" s="16"/>
    </row>
    <row r="295" spans="1:75" ht="13.5" customHeight="1">
      <c r="A295" s="15" t="s">
        <v>81</v>
      </c>
      <c r="B295" s="4" t="s">
        <v>715</v>
      </c>
      <c r="C295" s="66" t="s">
        <v>567</v>
      </c>
      <c r="D295" s="63"/>
      <c r="E295" s="4" t="s">
        <v>686</v>
      </c>
      <c r="F295" s="45">
        <v>7.7</v>
      </c>
      <c r="G295" s="45">
        <v>0</v>
      </c>
      <c r="H295" s="45">
        <f>F295*AO295</f>
        <v>0</v>
      </c>
      <c r="I295" s="45">
        <f>F295*AP295</f>
        <v>0</v>
      </c>
      <c r="J295" s="45">
        <f>F295*G295</f>
        <v>0</v>
      </c>
      <c r="K295" s="43" t="s">
        <v>319</v>
      </c>
      <c r="Z295" s="45">
        <f>IF(AQ295="5",BJ295,0)</f>
        <v>0</v>
      </c>
      <c r="AB295" s="45">
        <f>IF(AQ295="1",BH295,0)</f>
        <v>0</v>
      </c>
      <c r="AC295" s="45">
        <f>IF(AQ295="1",BI295,0)</f>
        <v>0</v>
      </c>
      <c r="AD295" s="45">
        <f>IF(AQ295="7",BH295,0)</f>
        <v>0</v>
      </c>
      <c r="AE295" s="45">
        <f>IF(AQ295="7",BI295,0)</f>
        <v>0</v>
      </c>
      <c r="AF295" s="45">
        <f>IF(AQ295="2",BH295,0)</f>
        <v>0</v>
      </c>
      <c r="AG295" s="45">
        <f>IF(AQ295="2",BI295,0)</f>
        <v>0</v>
      </c>
      <c r="AH295" s="45">
        <f>IF(AQ295="0",BJ295,0)</f>
        <v>0</v>
      </c>
      <c r="AI295" s="22" t="s">
        <v>495</v>
      </c>
      <c r="AJ295" s="45">
        <f>IF(AN295=0,J295,0)</f>
        <v>0</v>
      </c>
      <c r="AK295" s="45">
        <f>IF(AN295=12,J295,0)</f>
        <v>0</v>
      </c>
      <c r="AL295" s="45">
        <f>IF(AN295=21,J295,0)</f>
        <v>0</v>
      </c>
      <c r="AN295" s="45">
        <v>21</v>
      </c>
      <c r="AO295" s="45">
        <f>G295*0.407754825847479</f>
        <v>0</v>
      </c>
      <c r="AP295" s="45">
        <f>G295*(1-0.407754825847479)</f>
        <v>0</v>
      </c>
      <c r="AQ295" s="28" t="s">
        <v>692</v>
      </c>
      <c r="AV295" s="45">
        <f>AW295+AX295</f>
        <v>0</v>
      </c>
      <c r="AW295" s="45">
        <f>F295*AO295</f>
        <v>0</v>
      </c>
      <c r="AX295" s="45">
        <f>F295*AP295</f>
        <v>0</v>
      </c>
      <c r="AY295" s="28" t="s">
        <v>759</v>
      </c>
      <c r="AZ295" s="28" t="s">
        <v>247</v>
      </c>
      <c r="BA295" s="22" t="s">
        <v>544</v>
      </c>
      <c r="BC295" s="45">
        <f>AW295+AX295</f>
        <v>0</v>
      </c>
      <c r="BD295" s="45">
        <f>G295/(100-BE295)*100</f>
        <v>0</v>
      </c>
      <c r="BE295" s="45">
        <v>0</v>
      </c>
      <c r="BF295" s="45">
        <f>295</f>
        <v>295</v>
      </c>
      <c r="BH295" s="45">
        <f>F295*AO295</f>
        <v>0</v>
      </c>
      <c r="BI295" s="45">
        <f>F295*AP295</f>
        <v>0</v>
      </c>
      <c r="BJ295" s="45">
        <f>F295*G295</f>
        <v>0</v>
      </c>
      <c r="BK295" s="45"/>
      <c r="BL295" s="45">
        <v>94</v>
      </c>
      <c r="BW295" s="45">
        <v>21</v>
      </c>
    </row>
    <row r="296" spans="1:75" ht="15" customHeight="1">
      <c r="A296" s="49"/>
      <c r="C296" s="12" t="s">
        <v>377</v>
      </c>
      <c r="D296" s="12" t="s">
        <v>495</v>
      </c>
      <c r="F296" s="47">
        <v>7.7000000000000011</v>
      </c>
      <c r="K296" s="16"/>
    </row>
    <row r="297" spans="1:75" ht="13.5" customHeight="1">
      <c r="A297" s="15" t="s">
        <v>758</v>
      </c>
      <c r="B297" s="4" t="s">
        <v>328</v>
      </c>
      <c r="C297" s="66" t="s">
        <v>222</v>
      </c>
      <c r="D297" s="63"/>
      <c r="E297" s="4" t="s">
        <v>331</v>
      </c>
      <c r="F297" s="45">
        <v>7.0406599999999999</v>
      </c>
      <c r="G297" s="45">
        <v>0</v>
      </c>
      <c r="H297" s="45">
        <f>F297*AO297</f>
        <v>0</v>
      </c>
      <c r="I297" s="45">
        <f>F297*AP297</f>
        <v>0</v>
      </c>
      <c r="J297" s="45">
        <f>F297*G297</f>
        <v>0</v>
      </c>
      <c r="K297" s="43" t="s">
        <v>319</v>
      </c>
      <c r="Z297" s="45">
        <f>IF(AQ297="5",BJ297,0)</f>
        <v>0</v>
      </c>
      <c r="AB297" s="45">
        <f>IF(AQ297="1",BH297,0)</f>
        <v>0</v>
      </c>
      <c r="AC297" s="45">
        <f>IF(AQ297="1",BI297,0)</f>
        <v>0</v>
      </c>
      <c r="AD297" s="45">
        <f>IF(AQ297="7",BH297,0)</f>
        <v>0</v>
      </c>
      <c r="AE297" s="45">
        <f>IF(AQ297="7",BI297,0)</f>
        <v>0</v>
      </c>
      <c r="AF297" s="45">
        <f>IF(AQ297="2",BH297,0)</f>
        <v>0</v>
      </c>
      <c r="AG297" s="45">
        <f>IF(AQ297="2",BI297,0)</f>
        <v>0</v>
      </c>
      <c r="AH297" s="45">
        <f>IF(AQ297="0",BJ297,0)</f>
        <v>0</v>
      </c>
      <c r="AI297" s="22" t="s">
        <v>495</v>
      </c>
      <c r="AJ297" s="45">
        <f>IF(AN297=0,J297,0)</f>
        <v>0</v>
      </c>
      <c r="AK297" s="45">
        <f>IF(AN297=12,J297,0)</f>
        <v>0</v>
      </c>
      <c r="AL297" s="45">
        <f>IF(AN297=21,J297,0)</f>
        <v>0</v>
      </c>
      <c r="AN297" s="45">
        <v>21</v>
      </c>
      <c r="AO297" s="45">
        <f>G297*0</f>
        <v>0</v>
      </c>
      <c r="AP297" s="45">
        <f>G297*(1-0)</f>
        <v>0</v>
      </c>
      <c r="AQ297" s="28" t="s">
        <v>383</v>
      </c>
      <c r="AV297" s="45">
        <f>AW297+AX297</f>
        <v>0</v>
      </c>
      <c r="AW297" s="45">
        <f>F297*AO297</f>
        <v>0</v>
      </c>
      <c r="AX297" s="45">
        <f>F297*AP297</f>
        <v>0</v>
      </c>
      <c r="AY297" s="28" t="s">
        <v>759</v>
      </c>
      <c r="AZ297" s="28" t="s">
        <v>247</v>
      </c>
      <c r="BA297" s="22" t="s">
        <v>544</v>
      </c>
      <c r="BC297" s="45">
        <f>AW297+AX297</f>
        <v>0</v>
      </c>
      <c r="BD297" s="45">
        <f>G297/(100-BE297)*100</f>
        <v>0</v>
      </c>
      <c r="BE297" s="45">
        <v>0</v>
      </c>
      <c r="BF297" s="45">
        <f>297</f>
        <v>297</v>
      </c>
      <c r="BH297" s="45">
        <f>F297*AO297</f>
        <v>0</v>
      </c>
      <c r="BI297" s="45">
        <f>F297*AP297</f>
        <v>0</v>
      </c>
      <c r="BJ297" s="45">
        <f>F297*G297</f>
        <v>0</v>
      </c>
      <c r="BK297" s="45"/>
      <c r="BL297" s="45">
        <v>94</v>
      </c>
      <c r="BW297" s="45">
        <v>21</v>
      </c>
    </row>
    <row r="298" spans="1:75" ht="15" customHeight="1">
      <c r="A298" s="42" t="s">
        <v>495</v>
      </c>
      <c r="B298" s="39" t="s">
        <v>279</v>
      </c>
      <c r="C298" s="79" t="s">
        <v>524</v>
      </c>
      <c r="D298" s="80"/>
      <c r="E298" s="27" t="s">
        <v>653</v>
      </c>
      <c r="F298" s="27" t="s">
        <v>653</v>
      </c>
      <c r="G298" s="27" t="s">
        <v>653</v>
      </c>
      <c r="H298" s="11">
        <f>SUM(H299:H303)</f>
        <v>0</v>
      </c>
      <c r="I298" s="11">
        <f>SUM(I299:I303)</f>
        <v>0</v>
      </c>
      <c r="J298" s="11">
        <f>SUM(J299:J303)</f>
        <v>0</v>
      </c>
      <c r="K298" s="50" t="s">
        <v>495</v>
      </c>
      <c r="AI298" s="22" t="s">
        <v>495</v>
      </c>
      <c r="AS298" s="11">
        <f>SUM(AJ299:AJ303)</f>
        <v>0</v>
      </c>
      <c r="AT298" s="11">
        <f>SUM(AK299:AK303)</f>
        <v>0</v>
      </c>
      <c r="AU298" s="11">
        <f>SUM(AL299:AL303)</f>
        <v>0</v>
      </c>
    </row>
    <row r="299" spans="1:75" ht="13.5" customHeight="1">
      <c r="A299" s="15" t="s">
        <v>344</v>
      </c>
      <c r="B299" s="4" t="s">
        <v>631</v>
      </c>
      <c r="C299" s="66" t="s">
        <v>207</v>
      </c>
      <c r="D299" s="63"/>
      <c r="E299" s="4" t="s">
        <v>686</v>
      </c>
      <c r="F299" s="45">
        <v>175</v>
      </c>
      <c r="G299" s="45">
        <v>0</v>
      </c>
      <c r="H299" s="45">
        <f>F299*AO299</f>
        <v>0</v>
      </c>
      <c r="I299" s="45">
        <f>F299*AP299</f>
        <v>0</v>
      </c>
      <c r="J299" s="45">
        <f>F299*G299</f>
        <v>0</v>
      </c>
      <c r="K299" s="43" t="s">
        <v>319</v>
      </c>
      <c r="Z299" s="45">
        <f>IF(AQ299="5",BJ299,0)</f>
        <v>0</v>
      </c>
      <c r="AB299" s="45">
        <f>IF(AQ299="1",BH299,0)</f>
        <v>0</v>
      </c>
      <c r="AC299" s="45">
        <f>IF(AQ299="1",BI299,0)</f>
        <v>0</v>
      </c>
      <c r="AD299" s="45">
        <f>IF(AQ299="7",BH299,0)</f>
        <v>0</v>
      </c>
      <c r="AE299" s="45">
        <f>IF(AQ299="7",BI299,0)</f>
        <v>0</v>
      </c>
      <c r="AF299" s="45">
        <f>IF(AQ299="2",BH299,0)</f>
        <v>0</v>
      </c>
      <c r="AG299" s="45">
        <f>IF(AQ299="2",BI299,0)</f>
        <v>0</v>
      </c>
      <c r="AH299" s="45">
        <f>IF(AQ299="0",BJ299,0)</f>
        <v>0</v>
      </c>
      <c r="AI299" s="22" t="s">
        <v>495</v>
      </c>
      <c r="AJ299" s="45">
        <f>IF(AN299=0,J299,0)</f>
        <v>0</v>
      </c>
      <c r="AK299" s="45">
        <f>IF(AN299=12,J299,0)</f>
        <v>0</v>
      </c>
      <c r="AL299" s="45">
        <f>IF(AN299=21,J299,0)</f>
        <v>0</v>
      </c>
      <c r="AN299" s="45">
        <v>21</v>
      </c>
      <c r="AO299" s="45">
        <f>G299*0.0138858910713001</f>
        <v>0</v>
      </c>
      <c r="AP299" s="45">
        <f>G299*(1-0.0138858910713001)</f>
        <v>0</v>
      </c>
      <c r="AQ299" s="28" t="s">
        <v>692</v>
      </c>
      <c r="AV299" s="45">
        <f>AW299+AX299</f>
        <v>0</v>
      </c>
      <c r="AW299" s="45">
        <f>F299*AO299</f>
        <v>0</v>
      </c>
      <c r="AX299" s="45">
        <f>F299*AP299</f>
        <v>0</v>
      </c>
      <c r="AY299" s="28" t="s">
        <v>435</v>
      </c>
      <c r="AZ299" s="28" t="s">
        <v>247</v>
      </c>
      <c r="BA299" s="22" t="s">
        <v>544</v>
      </c>
      <c r="BC299" s="45">
        <f>AW299+AX299</f>
        <v>0</v>
      </c>
      <c r="BD299" s="45">
        <f>G299/(100-BE299)*100</f>
        <v>0</v>
      </c>
      <c r="BE299" s="45">
        <v>0</v>
      </c>
      <c r="BF299" s="45">
        <f>299</f>
        <v>299</v>
      </c>
      <c r="BH299" s="45">
        <f>F299*AO299</f>
        <v>0</v>
      </c>
      <c r="BI299" s="45">
        <f>F299*AP299</f>
        <v>0</v>
      </c>
      <c r="BJ299" s="45">
        <f>F299*G299</f>
        <v>0</v>
      </c>
      <c r="BK299" s="45"/>
      <c r="BL299" s="45">
        <v>95</v>
      </c>
      <c r="BW299" s="45">
        <v>21</v>
      </c>
    </row>
    <row r="300" spans="1:75" ht="15" customHeight="1">
      <c r="A300" s="49"/>
      <c r="C300" s="12" t="s">
        <v>137</v>
      </c>
      <c r="D300" s="12" t="s">
        <v>495</v>
      </c>
      <c r="F300" s="47">
        <v>175.00000000000003</v>
      </c>
      <c r="K300" s="16"/>
    </row>
    <row r="301" spans="1:75" ht="13.5" customHeight="1">
      <c r="A301" s="15" t="s">
        <v>581</v>
      </c>
      <c r="B301" s="4" t="s">
        <v>20</v>
      </c>
      <c r="C301" s="66" t="s">
        <v>41</v>
      </c>
      <c r="D301" s="63"/>
      <c r="E301" s="4" t="s">
        <v>686</v>
      </c>
      <c r="F301" s="45">
        <v>38.130000000000003</v>
      </c>
      <c r="G301" s="45">
        <v>0</v>
      </c>
      <c r="H301" s="45">
        <f>F301*AO301</f>
        <v>0</v>
      </c>
      <c r="I301" s="45">
        <f>F301*AP301</f>
        <v>0</v>
      </c>
      <c r="J301" s="45">
        <f>F301*G301</f>
        <v>0</v>
      </c>
      <c r="K301" s="43" t="s">
        <v>319</v>
      </c>
      <c r="Z301" s="45">
        <f>IF(AQ301="5",BJ301,0)</f>
        <v>0</v>
      </c>
      <c r="AB301" s="45">
        <f>IF(AQ301="1",BH301,0)</f>
        <v>0</v>
      </c>
      <c r="AC301" s="45">
        <f>IF(AQ301="1",BI301,0)</f>
        <v>0</v>
      </c>
      <c r="AD301" s="45">
        <f>IF(AQ301="7",BH301,0)</f>
        <v>0</v>
      </c>
      <c r="AE301" s="45">
        <f>IF(AQ301="7",BI301,0)</f>
        <v>0</v>
      </c>
      <c r="AF301" s="45">
        <f>IF(AQ301="2",BH301,0)</f>
        <v>0</v>
      </c>
      <c r="AG301" s="45">
        <f>IF(AQ301="2",BI301,0)</f>
        <v>0</v>
      </c>
      <c r="AH301" s="45">
        <f>IF(AQ301="0",BJ301,0)</f>
        <v>0</v>
      </c>
      <c r="AI301" s="22" t="s">
        <v>495</v>
      </c>
      <c r="AJ301" s="45">
        <f>IF(AN301=0,J301,0)</f>
        <v>0</v>
      </c>
      <c r="AK301" s="45">
        <f>IF(AN301=12,J301,0)</f>
        <v>0</v>
      </c>
      <c r="AL301" s="45">
        <f>IF(AN301=21,J301,0)</f>
        <v>0</v>
      </c>
      <c r="AN301" s="45">
        <v>21</v>
      </c>
      <c r="AO301" s="45">
        <f>G301*0.0222935048368236</f>
        <v>0</v>
      </c>
      <c r="AP301" s="45">
        <f>G301*(1-0.0222935048368236)</f>
        <v>0</v>
      </c>
      <c r="AQ301" s="28" t="s">
        <v>692</v>
      </c>
      <c r="AV301" s="45">
        <f>AW301+AX301</f>
        <v>0</v>
      </c>
      <c r="AW301" s="45">
        <f>F301*AO301</f>
        <v>0</v>
      </c>
      <c r="AX301" s="45">
        <f>F301*AP301</f>
        <v>0</v>
      </c>
      <c r="AY301" s="28" t="s">
        <v>435</v>
      </c>
      <c r="AZ301" s="28" t="s">
        <v>247</v>
      </c>
      <c r="BA301" s="22" t="s">
        <v>544</v>
      </c>
      <c r="BC301" s="45">
        <f>AW301+AX301</f>
        <v>0</v>
      </c>
      <c r="BD301" s="45">
        <f>G301/(100-BE301)*100</f>
        <v>0</v>
      </c>
      <c r="BE301" s="45">
        <v>0</v>
      </c>
      <c r="BF301" s="45">
        <f>301</f>
        <v>301</v>
      </c>
      <c r="BH301" s="45">
        <f>F301*AO301</f>
        <v>0</v>
      </c>
      <c r="BI301" s="45">
        <f>F301*AP301</f>
        <v>0</v>
      </c>
      <c r="BJ301" s="45">
        <f>F301*G301</f>
        <v>0</v>
      </c>
      <c r="BK301" s="45"/>
      <c r="BL301" s="45">
        <v>95</v>
      </c>
      <c r="BW301" s="45">
        <v>21</v>
      </c>
    </row>
    <row r="302" spans="1:75" ht="15" customHeight="1">
      <c r="A302" s="49"/>
      <c r="C302" s="12" t="s">
        <v>729</v>
      </c>
      <c r="D302" s="12" t="s">
        <v>495</v>
      </c>
      <c r="F302" s="47">
        <v>38.130000000000003</v>
      </c>
      <c r="K302" s="16"/>
    </row>
    <row r="303" spans="1:75" ht="13.5" customHeight="1">
      <c r="A303" s="15" t="s">
        <v>330</v>
      </c>
      <c r="B303" s="4" t="s">
        <v>395</v>
      </c>
      <c r="C303" s="66" t="s">
        <v>170</v>
      </c>
      <c r="D303" s="63"/>
      <c r="E303" s="4" t="s">
        <v>686</v>
      </c>
      <c r="F303" s="45">
        <v>188</v>
      </c>
      <c r="G303" s="45">
        <v>0</v>
      </c>
      <c r="H303" s="45">
        <f>F303*AO303</f>
        <v>0</v>
      </c>
      <c r="I303" s="45">
        <f>F303*AP303</f>
        <v>0</v>
      </c>
      <c r="J303" s="45">
        <f>F303*G303</f>
        <v>0</v>
      </c>
      <c r="K303" s="43" t="s">
        <v>319</v>
      </c>
      <c r="Z303" s="45">
        <f>IF(AQ303="5",BJ303,0)</f>
        <v>0</v>
      </c>
      <c r="AB303" s="45">
        <f>IF(AQ303="1",BH303,0)</f>
        <v>0</v>
      </c>
      <c r="AC303" s="45">
        <f>IF(AQ303="1",BI303,0)</f>
        <v>0</v>
      </c>
      <c r="AD303" s="45">
        <f>IF(AQ303="7",BH303,0)</f>
        <v>0</v>
      </c>
      <c r="AE303" s="45">
        <f>IF(AQ303="7",BI303,0)</f>
        <v>0</v>
      </c>
      <c r="AF303" s="45">
        <f>IF(AQ303="2",BH303,0)</f>
        <v>0</v>
      </c>
      <c r="AG303" s="45">
        <f>IF(AQ303="2",BI303,0)</f>
        <v>0</v>
      </c>
      <c r="AH303" s="45">
        <f>IF(AQ303="0",BJ303,0)</f>
        <v>0</v>
      </c>
      <c r="AI303" s="22" t="s">
        <v>495</v>
      </c>
      <c r="AJ303" s="45">
        <f>IF(AN303=0,J303,0)</f>
        <v>0</v>
      </c>
      <c r="AK303" s="45">
        <f>IF(AN303=12,J303,0)</f>
        <v>0</v>
      </c>
      <c r="AL303" s="45">
        <f>IF(AN303=21,J303,0)</f>
        <v>0</v>
      </c>
      <c r="AN303" s="45">
        <v>21</v>
      </c>
      <c r="AO303" s="45">
        <f>G303*0.0017741935483871</f>
        <v>0</v>
      </c>
      <c r="AP303" s="45">
        <f>G303*(1-0.0017741935483871)</f>
        <v>0</v>
      </c>
      <c r="AQ303" s="28" t="s">
        <v>692</v>
      </c>
      <c r="AV303" s="45">
        <f>AW303+AX303</f>
        <v>0</v>
      </c>
      <c r="AW303" s="45">
        <f>F303*AO303</f>
        <v>0</v>
      </c>
      <c r="AX303" s="45">
        <f>F303*AP303</f>
        <v>0</v>
      </c>
      <c r="AY303" s="28" t="s">
        <v>435</v>
      </c>
      <c r="AZ303" s="28" t="s">
        <v>247</v>
      </c>
      <c r="BA303" s="22" t="s">
        <v>544</v>
      </c>
      <c r="BC303" s="45">
        <f>AW303+AX303</f>
        <v>0</v>
      </c>
      <c r="BD303" s="45">
        <f>G303/(100-BE303)*100</f>
        <v>0</v>
      </c>
      <c r="BE303" s="45">
        <v>0</v>
      </c>
      <c r="BF303" s="45">
        <f>303</f>
        <v>303</v>
      </c>
      <c r="BH303" s="45">
        <f>F303*AO303</f>
        <v>0</v>
      </c>
      <c r="BI303" s="45">
        <f>F303*AP303</f>
        <v>0</v>
      </c>
      <c r="BJ303" s="45">
        <f>F303*G303</f>
        <v>0</v>
      </c>
      <c r="BK303" s="45"/>
      <c r="BL303" s="45">
        <v>95</v>
      </c>
      <c r="BW303" s="45">
        <v>21</v>
      </c>
    </row>
    <row r="304" spans="1:75" ht="15" customHeight="1">
      <c r="A304" s="49"/>
      <c r="C304" s="12" t="s">
        <v>333</v>
      </c>
      <c r="D304" s="12" t="s">
        <v>495</v>
      </c>
      <c r="F304" s="47">
        <v>188.00000000000003</v>
      </c>
      <c r="K304" s="16"/>
    </row>
    <row r="305" spans="1:75" ht="15" customHeight="1">
      <c r="A305" s="42" t="s">
        <v>495</v>
      </c>
      <c r="B305" s="39" t="s">
        <v>401</v>
      </c>
      <c r="C305" s="79" t="s">
        <v>525</v>
      </c>
      <c r="D305" s="80"/>
      <c r="E305" s="27" t="s">
        <v>653</v>
      </c>
      <c r="F305" s="27" t="s">
        <v>653</v>
      </c>
      <c r="G305" s="27" t="s">
        <v>653</v>
      </c>
      <c r="H305" s="11">
        <f>SUM(H306:H327)</f>
        <v>0</v>
      </c>
      <c r="I305" s="11">
        <f>SUM(I306:I327)</f>
        <v>0</v>
      </c>
      <c r="J305" s="11">
        <f>SUM(J306:J327)</f>
        <v>0</v>
      </c>
      <c r="K305" s="50" t="s">
        <v>495</v>
      </c>
      <c r="AI305" s="22" t="s">
        <v>495</v>
      </c>
      <c r="AS305" s="11">
        <f>SUM(AJ306:AJ327)</f>
        <v>0</v>
      </c>
      <c r="AT305" s="11">
        <f>SUM(AK306:AK327)</f>
        <v>0</v>
      </c>
      <c r="AU305" s="11">
        <f>SUM(AL306:AL327)</f>
        <v>0</v>
      </c>
    </row>
    <row r="306" spans="1:75" ht="13.5" customHeight="1">
      <c r="A306" s="15" t="s">
        <v>457</v>
      </c>
      <c r="B306" s="4" t="s">
        <v>666</v>
      </c>
      <c r="C306" s="66" t="s">
        <v>514</v>
      </c>
      <c r="D306" s="63"/>
      <c r="E306" s="4" t="s">
        <v>686</v>
      </c>
      <c r="F306" s="45">
        <v>7.7549999999999999</v>
      </c>
      <c r="G306" s="45">
        <v>0</v>
      </c>
      <c r="H306" s="45">
        <f>F306*AO306</f>
        <v>0</v>
      </c>
      <c r="I306" s="45">
        <f>F306*AP306</f>
        <v>0</v>
      </c>
      <c r="J306" s="45">
        <f>F306*G306</f>
        <v>0</v>
      </c>
      <c r="K306" s="43" t="s">
        <v>319</v>
      </c>
      <c r="Z306" s="45">
        <f>IF(AQ306="5",BJ306,0)</f>
        <v>0</v>
      </c>
      <c r="AB306" s="45">
        <f>IF(AQ306="1",BH306,0)</f>
        <v>0</v>
      </c>
      <c r="AC306" s="45">
        <f>IF(AQ306="1",BI306,0)</f>
        <v>0</v>
      </c>
      <c r="AD306" s="45">
        <f>IF(AQ306="7",BH306,0)</f>
        <v>0</v>
      </c>
      <c r="AE306" s="45">
        <f>IF(AQ306="7",BI306,0)</f>
        <v>0</v>
      </c>
      <c r="AF306" s="45">
        <f>IF(AQ306="2",BH306,0)</f>
        <v>0</v>
      </c>
      <c r="AG306" s="45">
        <f>IF(AQ306="2",BI306,0)</f>
        <v>0</v>
      </c>
      <c r="AH306" s="45">
        <f>IF(AQ306="0",BJ306,0)</f>
        <v>0</v>
      </c>
      <c r="AI306" s="22" t="s">
        <v>495</v>
      </c>
      <c r="AJ306" s="45">
        <f>IF(AN306=0,J306,0)</f>
        <v>0</v>
      </c>
      <c r="AK306" s="45">
        <f>IF(AN306=12,J306,0)</f>
        <v>0</v>
      </c>
      <c r="AL306" s="45">
        <f>IF(AN306=21,J306,0)</f>
        <v>0</v>
      </c>
      <c r="AN306" s="45">
        <v>21</v>
      </c>
      <c r="AO306" s="45">
        <f>G306*0.0452799402985075</f>
        <v>0</v>
      </c>
      <c r="AP306" s="45">
        <f>G306*(1-0.0452799402985075)</f>
        <v>0</v>
      </c>
      <c r="AQ306" s="28" t="s">
        <v>692</v>
      </c>
      <c r="AV306" s="45">
        <f>AW306+AX306</f>
        <v>0</v>
      </c>
      <c r="AW306" s="45">
        <f>F306*AO306</f>
        <v>0</v>
      </c>
      <c r="AX306" s="45">
        <f>F306*AP306</f>
        <v>0</v>
      </c>
      <c r="AY306" s="28" t="s">
        <v>630</v>
      </c>
      <c r="AZ306" s="28" t="s">
        <v>247</v>
      </c>
      <c r="BA306" s="22" t="s">
        <v>544</v>
      </c>
      <c r="BC306" s="45">
        <f>AW306+AX306</f>
        <v>0</v>
      </c>
      <c r="BD306" s="45">
        <f>G306/(100-BE306)*100</f>
        <v>0</v>
      </c>
      <c r="BE306" s="45">
        <v>0</v>
      </c>
      <c r="BF306" s="45">
        <f>306</f>
        <v>306</v>
      </c>
      <c r="BH306" s="45">
        <f>F306*AO306</f>
        <v>0</v>
      </c>
      <c r="BI306" s="45">
        <f>F306*AP306</f>
        <v>0</v>
      </c>
      <c r="BJ306" s="45">
        <f>F306*G306</f>
        <v>0</v>
      </c>
      <c r="BK306" s="45"/>
      <c r="BL306" s="45">
        <v>96</v>
      </c>
      <c r="BW306" s="45">
        <v>21</v>
      </c>
    </row>
    <row r="307" spans="1:75" ht="15" customHeight="1">
      <c r="A307" s="49"/>
      <c r="C307" s="12" t="s">
        <v>738</v>
      </c>
      <c r="D307" s="12" t="s">
        <v>495</v>
      </c>
      <c r="F307" s="47">
        <v>7.7550000000000008</v>
      </c>
      <c r="K307" s="16"/>
    </row>
    <row r="308" spans="1:75" ht="13.5" customHeight="1">
      <c r="A308" s="15" t="s">
        <v>751</v>
      </c>
      <c r="B308" s="4" t="s">
        <v>586</v>
      </c>
      <c r="C308" s="66" t="s">
        <v>334</v>
      </c>
      <c r="D308" s="63"/>
      <c r="E308" s="4" t="s">
        <v>168</v>
      </c>
      <c r="F308" s="45">
        <v>55</v>
      </c>
      <c r="G308" s="45">
        <v>0</v>
      </c>
      <c r="H308" s="45">
        <f>F308*AO308</f>
        <v>0</v>
      </c>
      <c r="I308" s="45">
        <f>F308*AP308</f>
        <v>0</v>
      </c>
      <c r="J308" s="45">
        <f>F308*G308</f>
        <v>0</v>
      </c>
      <c r="K308" s="43" t="s">
        <v>319</v>
      </c>
      <c r="Z308" s="45">
        <f>IF(AQ308="5",BJ308,0)</f>
        <v>0</v>
      </c>
      <c r="AB308" s="45">
        <f>IF(AQ308="1",BH308,0)</f>
        <v>0</v>
      </c>
      <c r="AC308" s="45">
        <f>IF(AQ308="1",BI308,0)</f>
        <v>0</v>
      </c>
      <c r="AD308" s="45">
        <f>IF(AQ308="7",BH308,0)</f>
        <v>0</v>
      </c>
      <c r="AE308" s="45">
        <f>IF(AQ308="7",BI308,0)</f>
        <v>0</v>
      </c>
      <c r="AF308" s="45">
        <f>IF(AQ308="2",BH308,0)</f>
        <v>0</v>
      </c>
      <c r="AG308" s="45">
        <f>IF(AQ308="2",BI308,0)</f>
        <v>0</v>
      </c>
      <c r="AH308" s="45">
        <f>IF(AQ308="0",BJ308,0)</f>
        <v>0</v>
      </c>
      <c r="AI308" s="22" t="s">
        <v>495</v>
      </c>
      <c r="AJ308" s="45">
        <f>IF(AN308=0,J308,0)</f>
        <v>0</v>
      </c>
      <c r="AK308" s="45">
        <f>IF(AN308=12,J308,0)</f>
        <v>0</v>
      </c>
      <c r="AL308" s="45">
        <f>IF(AN308=21,J308,0)</f>
        <v>0</v>
      </c>
      <c r="AN308" s="45">
        <v>21</v>
      </c>
      <c r="AO308" s="45">
        <f>G308*0</f>
        <v>0</v>
      </c>
      <c r="AP308" s="45">
        <f>G308*(1-0)</f>
        <v>0</v>
      </c>
      <c r="AQ308" s="28" t="s">
        <v>692</v>
      </c>
      <c r="AV308" s="45">
        <f>AW308+AX308</f>
        <v>0</v>
      </c>
      <c r="AW308" s="45">
        <f>F308*AO308</f>
        <v>0</v>
      </c>
      <c r="AX308" s="45">
        <f>F308*AP308</f>
        <v>0</v>
      </c>
      <c r="AY308" s="28" t="s">
        <v>630</v>
      </c>
      <c r="AZ308" s="28" t="s">
        <v>247</v>
      </c>
      <c r="BA308" s="22" t="s">
        <v>544</v>
      </c>
      <c r="BC308" s="45">
        <f>AW308+AX308</f>
        <v>0</v>
      </c>
      <c r="BD308" s="45">
        <f>G308/(100-BE308)*100</f>
        <v>0</v>
      </c>
      <c r="BE308" s="45">
        <v>0</v>
      </c>
      <c r="BF308" s="45">
        <f>308</f>
        <v>308</v>
      </c>
      <c r="BH308" s="45">
        <f>F308*AO308</f>
        <v>0</v>
      </c>
      <c r="BI308" s="45">
        <f>F308*AP308</f>
        <v>0</v>
      </c>
      <c r="BJ308" s="45">
        <f>F308*G308</f>
        <v>0</v>
      </c>
      <c r="BK308" s="45"/>
      <c r="BL308" s="45">
        <v>96</v>
      </c>
      <c r="BW308" s="45">
        <v>21</v>
      </c>
    </row>
    <row r="309" spans="1:75" ht="15" customHeight="1">
      <c r="A309" s="49"/>
      <c r="C309" s="12" t="s">
        <v>471</v>
      </c>
      <c r="D309" s="12" t="s">
        <v>495</v>
      </c>
      <c r="F309" s="47">
        <v>52.000000000000007</v>
      </c>
      <c r="K309" s="16"/>
    </row>
    <row r="310" spans="1:75" ht="15" customHeight="1">
      <c r="A310" s="49"/>
      <c r="C310" s="12" t="s">
        <v>280</v>
      </c>
      <c r="D310" s="12" t="s">
        <v>495</v>
      </c>
      <c r="F310" s="47">
        <v>1</v>
      </c>
      <c r="K310" s="16"/>
    </row>
    <row r="311" spans="1:75" ht="15" customHeight="1">
      <c r="A311" s="49"/>
      <c r="C311" s="12" t="s">
        <v>302</v>
      </c>
      <c r="D311" s="12" t="s">
        <v>495</v>
      </c>
      <c r="F311" s="47">
        <v>2</v>
      </c>
      <c r="K311" s="16"/>
    </row>
    <row r="312" spans="1:75" ht="13.5" customHeight="1">
      <c r="A312" s="15" t="s">
        <v>500</v>
      </c>
      <c r="B312" s="4" t="s">
        <v>69</v>
      </c>
      <c r="C312" s="66" t="s">
        <v>707</v>
      </c>
      <c r="D312" s="63"/>
      <c r="E312" s="4" t="s">
        <v>686</v>
      </c>
      <c r="F312" s="45">
        <v>32.4</v>
      </c>
      <c r="G312" s="45">
        <v>0</v>
      </c>
      <c r="H312" s="45">
        <f>F312*AO312</f>
        <v>0</v>
      </c>
      <c r="I312" s="45">
        <f>F312*AP312</f>
        <v>0</v>
      </c>
      <c r="J312" s="45">
        <f>F312*G312</f>
        <v>0</v>
      </c>
      <c r="K312" s="43" t="s">
        <v>319</v>
      </c>
      <c r="Z312" s="45">
        <f>IF(AQ312="5",BJ312,0)</f>
        <v>0</v>
      </c>
      <c r="AB312" s="45">
        <f>IF(AQ312="1",BH312,0)</f>
        <v>0</v>
      </c>
      <c r="AC312" s="45">
        <f>IF(AQ312="1",BI312,0)</f>
        <v>0</v>
      </c>
      <c r="AD312" s="45">
        <f>IF(AQ312="7",BH312,0)</f>
        <v>0</v>
      </c>
      <c r="AE312" s="45">
        <f>IF(AQ312="7",BI312,0)</f>
        <v>0</v>
      </c>
      <c r="AF312" s="45">
        <f>IF(AQ312="2",BH312,0)</f>
        <v>0</v>
      </c>
      <c r="AG312" s="45">
        <f>IF(AQ312="2",BI312,0)</f>
        <v>0</v>
      </c>
      <c r="AH312" s="45">
        <f>IF(AQ312="0",BJ312,0)</f>
        <v>0</v>
      </c>
      <c r="AI312" s="22" t="s">
        <v>495</v>
      </c>
      <c r="AJ312" s="45">
        <f>IF(AN312=0,J312,0)</f>
        <v>0</v>
      </c>
      <c r="AK312" s="45">
        <f>IF(AN312=12,J312,0)</f>
        <v>0</v>
      </c>
      <c r="AL312" s="45">
        <f>IF(AN312=21,J312,0)</f>
        <v>0</v>
      </c>
      <c r="AN312" s="45">
        <v>21</v>
      </c>
      <c r="AO312" s="45">
        <f>G312*0.112899159663866</f>
        <v>0</v>
      </c>
      <c r="AP312" s="45">
        <f>G312*(1-0.112899159663866)</f>
        <v>0</v>
      </c>
      <c r="AQ312" s="28" t="s">
        <v>692</v>
      </c>
      <c r="AV312" s="45">
        <f>AW312+AX312</f>
        <v>0</v>
      </c>
      <c r="AW312" s="45">
        <f>F312*AO312</f>
        <v>0</v>
      </c>
      <c r="AX312" s="45">
        <f>F312*AP312</f>
        <v>0</v>
      </c>
      <c r="AY312" s="28" t="s">
        <v>630</v>
      </c>
      <c r="AZ312" s="28" t="s">
        <v>247</v>
      </c>
      <c r="BA312" s="22" t="s">
        <v>544</v>
      </c>
      <c r="BC312" s="45">
        <f>AW312+AX312</f>
        <v>0</v>
      </c>
      <c r="BD312" s="45">
        <f>G312/(100-BE312)*100</f>
        <v>0</v>
      </c>
      <c r="BE312" s="45">
        <v>0</v>
      </c>
      <c r="BF312" s="45">
        <f>312</f>
        <v>312</v>
      </c>
      <c r="BH312" s="45">
        <f>F312*AO312</f>
        <v>0</v>
      </c>
      <c r="BI312" s="45">
        <f>F312*AP312</f>
        <v>0</v>
      </c>
      <c r="BJ312" s="45">
        <f>F312*G312</f>
        <v>0</v>
      </c>
      <c r="BK312" s="45"/>
      <c r="BL312" s="45">
        <v>96</v>
      </c>
      <c r="BW312" s="45">
        <v>21</v>
      </c>
    </row>
    <row r="313" spans="1:75" ht="15" customHeight="1">
      <c r="A313" s="49"/>
      <c r="C313" s="12" t="s">
        <v>200</v>
      </c>
      <c r="D313" s="12" t="s">
        <v>495</v>
      </c>
      <c r="F313" s="47">
        <v>32.400000000000006</v>
      </c>
      <c r="K313" s="16"/>
    </row>
    <row r="314" spans="1:75" ht="13.5" customHeight="1">
      <c r="A314" s="15" t="s">
        <v>757</v>
      </c>
      <c r="B314" s="4" t="s">
        <v>669</v>
      </c>
      <c r="C314" s="66" t="s">
        <v>745</v>
      </c>
      <c r="D314" s="63"/>
      <c r="E314" s="4" t="s">
        <v>584</v>
      </c>
      <c r="F314" s="45">
        <v>19.5</v>
      </c>
      <c r="G314" s="45">
        <v>0</v>
      </c>
      <c r="H314" s="45">
        <f>F314*AO314</f>
        <v>0</v>
      </c>
      <c r="I314" s="45">
        <f>F314*AP314</f>
        <v>0</v>
      </c>
      <c r="J314" s="45">
        <f>F314*G314</f>
        <v>0</v>
      </c>
      <c r="K314" s="43" t="s">
        <v>319</v>
      </c>
      <c r="Z314" s="45">
        <f>IF(AQ314="5",BJ314,0)</f>
        <v>0</v>
      </c>
      <c r="AB314" s="45">
        <f>IF(AQ314="1",BH314,0)</f>
        <v>0</v>
      </c>
      <c r="AC314" s="45">
        <f>IF(AQ314="1",BI314,0)</f>
        <v>0</v>
      </c>
      <c r="AD314" s="45">
        <f>IF(AQ314="7",BH314,0)</f>
        <v>0</v>
      </c>
      <c r="AE314" s="45">
        <f>IF(AQ314="7",BI314,0)</f>
        <v>0</v>
      </c>
      <c r="AF314" s="45">
        <f>IF(AQ314="2",BH314,0)</f>
        <v>0</v>
      </c>
      <c r="AG314" s="45">
        <f>IF(AQ314="2",BI314,0)</f>
        <v>0</v>
      </c>
      <c r="AH314" s="45">
        <f>IF(AQ314="0",BJ314,0)</f>
        <v>0</v>
      </c>
      <c r="AI314" s="22" t="s">
        <v>495</v>
      </c>
      <c r="AJ314" s="45">
        <f>IF(AN314=0,J314,0)</f>
        <v>0</v>
      </c>
      <c r="AK314" s="45">
        <f>IF(AN314=12,J314,0)</f>
        <v>0</v>
      </c>
      <c r="AL314" s="45">
        <f>IF(AN314=21,J314,0)</f>
        <v>0</v>
      </c>
      <c r="AN314" s="45">
        <v>21</v>
      </c>
      <c r="AO314" s="45">
        <f>G314*0</f>
        <v>0</v>
      </c>
      <c r="AP314" s="45">
        <f>G314*(1-0)</f>
        <v>0</v>
      </c>
      <c r="AQ314" s="28" t="s">
        <v>692</v>
      </c>
      <c r="AV314" s="45">
        <f>AW314+AX314</f>
        <v>0</v>
      </c>
      <c r="AW314" s="45">
        <f>F314*AO314</f>
        <v>0</v>
      </c>
      <c r="AX314" s="45">
        <f>F314*AP314</f>
        <v>0</v>
      </c>
      <c r="AY314" s="28" t="s">
        <v>630</v>
      </c>
      <c r="AZ314" s="28" t="s">
        <v>247</v>
      </c>
      <c r="BA314" s="22" t="s">
        <v>544</v>
      </c>
      <c r="BC314" s="45">
        <f>AW314+AX314</f>
        <v>0</v>
      </c>
      <c r="BD314" s="45">
        <f>G314/(100-BE314)*100</f>
        <v>0</v>
      </c>
      <c r="BE314" s="45">
        <v>0</v>
      </c>
      <c r="BF314" s="45">
        <f>314</f>
        <v>314</v>
      </c>
      <c r="BH314" s="45">
        <f>F314*AO314</f>
        <v>0</v>
      </c>
      <c r="BI314" s="45">
        <f>F314*AP314</f>
        <v>0</v>
      </c>
      <c r="BJ314" s="45">
        <f>F314*G314</f>
        <v>0</v>
      </c>
      <c r="BK314" s="45"/>
      <c r="BL314" s="45">
        <v>96</v>
      </c>
      <c r="BW314" s="45">
        <v>21</v>
      </c>
    </row>
    <row r="315" spans="1:75" ht="15" customHeight="1">
      <c r="A315" s="49"/>
      <c r="C315" s="12" t="s">
        <v>244</v>
      </c>
      <c r="D315" s="12" t="s">
        <v>495</v>
      </c>
      <c r="F315" s="47">
        <v>18</v>
      </c>
      <c r="K315" s="16"/>
    </row>
    <row r="316" spans="1:75" ht="15" customHeight="1">
      <c r="A316" s="49"/>
      <c r="C316" s="12" t="s">
        <v>769</v>
      </c>
      <c r="D316" s="12" t="s">
        <v>495</v>
      </c>
      <c r="F316" s="47">
        <v>0.9</v>
      </c>
      <c r="K316" s="16"/>
    </row>
    <row r="317" spans="1:75" ht="15" customHeight="1">
      <c r="A317" s="49"/>
      <c r="C317" s="12" t="s">
        <v>115</v>
      </c>
      <c r="D317" s="12" t="s">
        <v>495</v>
      </c>
      <c r="F317" s="47">
        <v>0.60000000000000009</v>
      </c>
      <c r="K317" s="16"/>
    </row>
    <row r="318" spans="1:75" ht="13.5" customHeight="1">
      <c r="A318" s="15" t="s">
        <v>711</v>
      </c>
      <c r="B318" s="4" t="s">
        <v>217</v>
      </c>
      <c r="C318" s="66" t="s">
        <v>250</v>
      </c>
      <c r="D318" s="63"/>
      <c r="E318" s="4" t="s">
        <v>686</v>
      </c>
      <c r="F318" s="45">
        <v>1.86</v>
      </c>
      <c r="G318" s="45">
        <v>0</v>
      </c>
      <c r="H318" s="45">
        <f>F318*AO318</f>
        <v>0</v>
      </c>
      <c r="I318" s="45">
        <f>F318*AP318</f>
        <v>0</v>
      </c>
      <c r="J318" s="45">
        <f>F318*G318</f>
        <v>0</v>
      </c>
      <c r="K318" s="43" t="s">
        <v>319</v>
      </c>
      <c r="Z318" s="45">
        <f>IF(AQ318="5",BJ318,0)</f>
        <v>0</v>
      </c>
      <c r="AB318" s="45">
        <f>IF(AQ318="1",BH318,0)</f>
        <v>0</v>
      </c>
      <c r="AC318" s="45">
        <f>IF(AQ318="1",BI318,0)</f>
        <v>0</v>
      </c>
      <c r="AD318" s="45">
        <f>IF(AQ318="7",BH318,0)</f>
        <v>0</v>
      </c>
      <c r="AE318" s="45">
        <f>IF(AQ318="7",BI318,0)</f>
        <v>0</v>
      </c>
      <c r="AF318" s="45">
        <f>IF(AQ318="2",BH318,0)</f>
        <v>0</v>
      </c>
      <c r="AG318" s="45">
        <f>IF(AQ318="2",BI318,0)</f>
        <v>0</v>
      </c>
      <c r="AH318" s="45">
        <f>IF(AQ318="0",BJ318,0)</f>
        <v>0</v>
      </c>
      <c r="AI318" s="22" t="s">
        <v>495</v>
      </c>
      <c r="AJ318" s="45">
        <f>IF(AN318=0,J318,0)</f>
        <v>0</v>
      </c>
      <c r="AK318" s="45">
        <f>IF(AN318=12,J318,0)</f>
        <v>0</v>
      </c>
      <c r="AL318" s="45">
        <f>IF(AN318=21,J318,0)</f>
        <v>0</v>
      </c>
      <c r="AN318" s="45">
        <v>21</v>
      </c>
      <c r="AO318" s="45">
        <f>G318*0.209598211928688</f>
        <v>0</v>
      </c>
      <c r="AP318" s="45">
        <f>G318*(1-0.209598211928688)</f>
        <v>0</v>
      </c>
      <c r="AQ318" s="28" t="s">
        <v>692</v>
      </c>
      <c r="AV318" s="45">
        <f>AW318+AX318</f>
        <v>0</v>
      </c>
      <c r="AW318" s="45">
        <f>F318*AO318</f>
        <v>0</v>
      </c>
      <c r="AX318" s="45">
        <f>F318*AP318</f>
        <v>0</v>
      </c>
      <c r="AY318" s="28" t="s">
        <v>630</v>
      </c>
      <c r="AZ318" s="28" t="s">
        <v>247</v>
      </c>
      <c r="BA318" s="22" t="s">
        <v>544</v>
      </c>
      <c r="BC318" s="45">
        <f>AW318+AX318</f>
        <v>0</v>
      </c>
      <c r="BD318" s="45">
        <f>G318/(100-BE318)*100</f>
        <v>0</v>
      </c>
      <c r="BE318" s="45">
        <v>0</v>
      </c>
      <c r="BF318" s="45">
        <f>318</f>
        <v>318</v>
      </c>
      <c r="BH318" s="45">
        <f>F318*AO318</f>
        <v>0</v>
      </c>
      <c r="BI318" s="45">
        <f>F318*AP318</f>
        <v>0</v>
      </c>
      <c r="BJ318" s="45">
        <f>F318*G318</f>
        <v>0</v>
      </c>
      <c r="BK318" s="45"/>
      <c r="BL318" s="45">
        <v>96</v>
      </c>
      <c r="BW318" s="45">
        <v>21</v>
      </c>
    </row>
    <row r="319" spans="1:75" ht="15" customHeight="1">
      <c r="A319" s="49"/>
      <c r="C319" s="12" t="s">
        <v>606</v>
      </c>
      <c r="D319" s="12" t="s">
        <v>495</v>
      </c>
      <c r="F319" s="47">
        <v>0.9</v>
      </c>
      <c r="K319" s="16"/>
    </row>
    <row r="320" spans="1:75" ht="15" customHeight="1">
      <c r="A320" s="49"/>
      <c r="C320" s="12" t="s">
        <v>298</v>
      </c>
      <c r="D320" s="12" t="s">
        <v>495</v>
      </c>
      <c r="F320" s="47">
        <v>0.96000000000000008</v>
      </c>
      <c r="K320" s="16"/>
    </row>
    <row r="321" spans="1:75" ht="13.5" customHeight="1">
      <c r="A321" s="15" t="s">
        <v>671</v>
      </c>
      <c r="B321" s="4" t="s">
        <v>530</v>
      </c>
      <c r="C321" s="66" t="s">
        <v>675</v>
      </c>
      <c r="D321" s="63"/>
      <c r="E321" s="4" t="s">
        <v>168</v>
      </c>
      <c r="F321" s="45">
        <v>2</v>
      </c>
      <c r="G321" s="45">
        <v>0</v>
      </c>
      <c r="H321" s="45">
        <f>F321*AO321</f>
        <v>0</v>
      </c>
      <c r="I321" s="45">
        <f>F321*AP321</f>
        <v>0</v>
      </c>
      <c r="J321" s="45">
        <f>F321*G321</f>
        <v>0</v>
      </c>
      <c r="K321" s="43" t="s">
        <v>319</v>
      </c>
      <c r="Z321" s="45">
        <f>IF(AQ321="5",BJ321,0)</f>
        <v>0</v>
      </c>
      <c r="AB321" s="45">
        <f>IF(AQ321="1",BH321,0)</f>
        <v>0</v>
      </c>
      <c r="AC321" s="45">
        <f>IF(AQ321="1",BI321,0)</f>
        <v>0</v>
      </c>
      <c r="AD321" s="45">
        <f>IF(AQ321="7",BH321,0)</f>
        <v>0</v>
      </c>
      <c r="AE321" s="45">
        <f>IF(AQ321="7",BI321,0)</f>
        <v>0</v>
      </c>
      <c r="AF321" s="45">
        <f>IF(AQ321="2",BH321,0)</f>
        <v>0</v>
      </c>
      <c r="AG321" s="45">
        <f>IF(AQ321="2",BI321,0)</f>
        <v>0</v>
      </c>
      <c r="AH321" s="45">
        <f>IF(AQ321="0",BJ321,0)</f>
        <v>0</v>
      </c>
      <c r="AI321" s="22" t="s">
        <v>495</v>
      </c>
      <c r="AJ321" s="45">
        <f>IF(AN321=0,J321,0)</f>
        <v>0</v>
      </c>
      <c r="AK321" s="45">
        <f>IF(AN321=12,J321,0)</f>
        <v>0</v>
      </c>
      <c r="AL321" s="45">
        <f>IF(AN321=21,J321,0)</f>
        <v>0</v>
      </c>
      <c r="AN321" s="45">
        <v>21</v>
      </c>
      <c r="AO321" s="45">
        <f>G321*0</f>
        <v>0</v>
      </c>
      <c r="AP321" s="45">
        <f>G321*(1-0)</f>
        <v>0</v>
      </c>
      <c r="AQ321" s="28" t="s">
        <v>692</v>
      </c>
      <c r="AV321" s="45">
        <f>AW321+AX321</f>
        <v>0</v>
      </c>
      <c r="AW321" s="45">
        <f>F321*AO321</f>
        <v>0</v>
      </c>
      <c r="AX321" s="45">
        <f>F321*AP321</f>
        <v>0</v>
      </c>
      <c r="AY321" s="28" t="s">
        <v>630</v>
      </c>
      <c r="AZ321" s="28" t="s">
        <v>247</v>
      </c>
      <c r="BA321" s="22" t="s">
        <v>544</v>
      </c>
      <c r="BC321" s="45">
        <f>AW321+AX321</f>
        <v>0</v>
      </c>
      <c r="BD321" s="45">
        <f>G321/(100-BE321)*100</f>
        <v>0</v>
      </c>
      <c r="BE321" s="45">
        <v>0</v>
      </c>
      <c r="BF321" s="45">
        <f>321</f>
        <v>321</v>
      </c>
      <c r="BH321" s="45">
        <f>F321*AO321</f>
        <v>0</v>
      </c>
      <c r="BI321" s="45">
        <f>F321*AP321</f>
        <v>0</v>
      </c>
      <c r="BJ321" s="45">
        <f>F321*G321</f>
        <v>0</v>
      </c>
      <c r="BK321" s="45"/>
      <c r="BL321" s="45">
        <v>96</v>
      </c>
      <c r="BW321" s="45">
        <v>21</v>
      </c>
    </row>
    <row r="322" spans="1:75" ht="15" customHeight="1">
      <c r="A322" s="49"/>
      <c r="C322" s="12" t="s">
        <v>710</v>
      </c>
      <c r="D322" s="12" t="s">
        <v>495</v>
      </c>
      <c r="F322" s="47">
        <v>2</v>
      </c>
      <c r="K322" s="16"/>
    </row>
    <row r="323" spans="1:75" ht="13.5" customHeight="1">
      <c r="A323" s="15" t="s">
        <v>375</v>
      </c>
      <c r="B323" s="4" t="s">
        <v>134</v>
      </c>
      <c r="C323" s="66" t="s">
        <v>402</v>
      </c>
      <c r="D323" s="63"/>
      <c r="E323" s="4" t="s">
        <v>686</v>
      </c>
      <c r="F323" s="45">
        <v>3.87</v>
      </c>
      <c r="G323" s="45">
        <v>0</v>
      </c>
      <c r="H323" s="45">
        <f>F323*AO323</f>
        <v>0</v>
      </c>
      <c r="I323" s="45">
        <f>F323*AP323</f>
        <v>0</v>
      </c>
      <c r="J323" s="45">
        <f>F323*G323</f>
        <v>0</v>
      </c>
      <c r="K323" s="43" t="s">
        <v>319</v>
      </c>
      <c r="Z323" s="45">
        <f>IF(AQ323="5",BJ323,0)</f>
        <v>0</v>
      </c>
      <c r="AB323" s="45">
        <f>IF(AQ323="1",BH323,0)</f>
        <v>0</v>
      </c>
      <c r="AC323" s="45">
        <f>IF(AQ323="1",BI323,0)</f>
        <v>0</v>
      </c>
      <c r="AD323" s="45">
        <f>IF(AQ323="7",BH323,0)</f>
        <v>0</v>
      </c>
      <c r="AE323" s="45">
        <f>IF(AQ323="7",BI323,0)</f>
        <v>0</v>
      </c>
      <c r="AF323" s="45">
        <f>IF(AQ323="2",BH323,0)</f>
        <v>0</v>
      </c>
      <c r="AG323" s="45">
        <f>IF(AQ323="2",BI323,0)</f>
        <v>0</v>
      </c>
      <c r="AH323" s="45">
        <f>IF(AQ323="0",BJ323,0)</f>
        <v>0</v>
      </c>
      <c r="AI323" s="22" t="s">
        <v>495</v>
      </c>
      <c r="AJ323" s="45">
        <f>IF(AN323=0,J323,0)</f>
        <v>0</v>
      </c>
      <c r="AK323" s="45">
        <f>IF(AN323=12,J323,0)</f>
        <v>0</v>
      </c>
      <c r="AL323" s="45">
        <f>IF(AN323=21,J323,0)</f>
        <v>0</v>
      </c>
      <c r="AN323" s="45">
        <v>21</v>
      </c>
      <c r="AO323" s="45">
        <f>G323*0.0747702407002188</f>
        <v>0</v>
      </c>
      <c r="AP323" s="45">
        <f>G323*(1-0.0747702407002188)</f>
        <v>0</v>
      </c>
      <c r="AQ323" s="28" t="s">
        <v>692</v>
      </c>
      <c r="AV323" s="45">
        <f>AW323+AX323</f>
        <v>0</v>
      </c>
      <c r="AW323" s="45">
        <f>F323*AO323</f>
        <v>0</v>
      </c>
      <c r="AX323" s="45">
        <f>F323*AP323</f>
        <v>0</v>
      </c>
      <c r="AY323" s="28" t="s">
        <v>630</v>
      </c>
      <c r="AZ323" s="28" t="s">
        <v>247</v>
      </c>
      <c r="BA323" s="22" t="s">
        <v>544</v>
      </c>
      <c r="BC323" s="45">
        <f>AW323+AX323</f>
        <v>0</v>
      </c>
      <c r="BD323" s="45">
        <f>G323/(100-BE323)*100</f>
        <v>0</v>
      </c>
      <c r="BE323" s="45">
        <v>0</v>
      </c>
      <c r="BF323" s="45">
        <f>323</f>
        <v>323</v>
      </c>
      <c r="BH323" s="45">
        <f>F323*AO323</f>
        <v>0</v>
      </c>
      <c r="BI323" s="45">
        <f>F323*AP323</f>
        <v>0</v>
      </c>
      <c r="BJ323" s="45">
        <f>F323*G323</f>
        <v>0</v>
      </c>
      <c r="BK323" s="45"/>
      <c r="BL323" s="45">
        <v>96</v>
      </c>
      <c r="BW323" s="45">
        <v>21</v>
      </c>
    </row>
    <row r="324" spans="1:75" ht="15" customHeight="1">
      <c r="A324" s="49"/>
      <c r="C324" s="12" t="s">
        <v>270</v>
      </c>
      <c r="D324" s="12" t="s">
        <v>495</v>
      </c>
      <c r="F324" s="47">
        <v>3.87</v>
      </c>
      <c r="K324" s="16"/>
    </row>
    <row r="325" spans="1:75" ht="13.5" customHeight="1">
      <c r="A325" s="15" t="s">
        <v>332</v>
      </c>
      <c r="B325" s="4" t="s">
        <v>149</v>
      </c>
      <c r="C325" s="66" t="s">
        <v>273</v>
      </c>
      <c r="D325" s="63"/>
      <c r="E325" s="4" t="s">
        <v>686</v>
      </c>
      <c r="F325" s="45">
        <v>3.35</v>
      </c>
      <c r="G325" s="45">
        <v>0</v>
      </c>
      <c r="H325" s="45">
        <f>F325*AO325</f>
        <v>0</v>
      </c>
      <c r="I325" s="45">
        <f>F325*AP325</f>
        <v>0</v>
      </c>
      <c r="J325" s="45">
        <f>F325*G325</f>
        <v>0</v>
      </c>
      <c r="K325" s="43" t="s">
        <v>319</v>
      </c>
      <c r="Z325" s="45">
        <f>IF(AQ325="5",BJ325,0)</f>
        <v>0</v>
      </c>
      <c r="AB325" s="45">
        <f>IF(AQ325="1",BH325,0)</f>
        <v>0</v>
      </c>
      <c r="AC325" s="45">
        <f>IF(AQ325="1",BI325,0)</f>
        <v>0</v>
      </c>
      <c r="AD325" s="45">
        <f>IF(AQ325="7",BH325,0)</f>
        <v>0</v>
      </c>
      <c r="AE325" s="45">
        <f>IF(AQ325="7",BI325,0)</f>
        <v>0</v>
      </c>
      <c r="AF325" s="45">
        <f>IF(AQ325="2",BH325,0)</f>
        <v>0</v>
      </c>
      <c r="AG325" s="45">
        <f>IF(AQ325="2",BI325,0)</f>
        <v>0</v>
      </c>
      <c r="AH325" s="45">
        <f>IF(AQ325="0",BJ325,0)</f>
        <v>0</v>
      </c>
      <c r="AI325" s="22" t="s">
        <v>495</v>
      </c>
      <c r="AJ325" s="45">
        <f>IF(AN325=0,J325,0)</f>
        <v>0</v>
      </c>
      <c r="AK325" s="45">
        <f>IF(AN325=12,J325,0)</f>
        <v>0</v>
      </c>
      <c r="AL325" s="45">
        <f>IF(AN325=21,J325,0)</f>
        <v>0</v>
      </c>
      <c r="AN325" s="45">
        <v>21</v>
      </c>
      <c r="AO325" s="45">
        <f>G325*0</f>
        <v>0</v>
      </c>
      <c r="AP325" s="45">
        <f>G325*(1-0)</f>
        <v>0</v>
      </c>
      <c r="AQ325" s="28" t="s">
        <v>692</v>
      </c>
      <c r="AV325" s="45">
        <f>AW325+AX325</f>
        <v>0</v>
      </c>
      <c r="AW325" s="45">
        <f>F325*AO325</f>
        <v>0</v>
      </c>
      <c r="AX325" s="45">
        <f>F325*AP325</f>
        <v>0</v>
      </c>
      <c r="AY325" s="28" t="s">
        <v>630</v>
      </c>
      <c r="AZ325" s="28" t="s">
        <v>247</v>
      </c>
      <c r="BA325" s="22" t="s">
        <v>544</v>
      </c>
      <c r="BC325" s="45">
        <f>AW325+AX325</f>
        <v>0</v>
      </c>
      <c r="BD325" s="45">
        <f>G325/(100-BE325)*100</f>
        <v>0</v>
      </c>
      <c r="BE325" s="45">
        <v>0</v>
      </c>
      <c r="BF325" s="45">
        <f>325</f>
        <v>325</v>
      </c>
      <c r="BH325" s="45">
        <f>F325*AO325</f>
        <v>0</v>
      </c>
      <c r="BI325" s="45">
        <f>F325*AP325</f>
        <v>0</v>
      </c>
      <c r="BJ325" s="45">
        <f>F325*G325</f>
        <v>0</v>
      </c>
      <c r="BK325" s="45"/>
      <c r="BL325" s="45">
        <v>96</v>
      </c>
      <c r="BW325" s="45">
        <v>21</v>
      </c>
    </row>
    <row r="326" spans="1:75" ht="15" customHeight="1">
      <c r="A326" s="49"/>
      <c r="C326" s="12" t="s">
        <v>373</v>
      </c>
      <c r="D326" s="12" t="s">
        <v>495</v>
      </c>
      <c r="F326" s="47">
        <v>3.35</v>
      </c>
      <c r="K326" s="16"/>
    </row>
    <row r="327" spans="1:75" ht="13.5" customHeight="1">
      <c r="A327" s="15" t="s">
        <v>297</v>
      </c>
      <c r="B327" s="4" t="s">
        <v>62</v>
      </c>
      <c r="C327" s="66" t="s">
        <v>480</v>
      </c>
      <c r="D327" s="63"/>
      <c r="E327" s="4" t="s">
        <v>676</v>
      </c>
      <c r="F327" s="45">
        <v>12.25</v>
      </c>
      <c r="G327" s="45">
        <v>0</v>
      </c>
      <c r="H327" s="45">
        <f>F327*AO327</f>
        <v>0</v>
      </c>
      <c r="I327" s="45">
        <f>F327*AP327</f>
        <v>0</v>
      </c>
      <c r="J327" s="45">
        <f>F327*G327</f>
        <v>0</v>
      </c>
      <c r="K327" s="43" t="s">
        <v>319</v>
      </c>
      <c r="Z327" s="45">
        <f>IF(AQ327="5",BJ327,0)</f>
        <v>0</v>
      </c>
      <c r="AB327" s="45">
        <f>IF(AQ327="1",BH327,0)</f>
        <v>0</v>
      </c>
      <c r="AC327" s="45">
        <f>IF(AQ327="1",BI327,0)</f>
        <v>0</v>
      </c>
      <c r="AD327" s="45">
        <f>IF(AQ327="7",BH327,0)</f>
        <v>0</v>
      </c>
      <c r="AE327" s="45">
        <f>IF(AQ327="7",BI327,0)</f>
        <v>0</v>
      </c>
      <c r="AF327" s="45">
        <f>IF(AQ327="2",BH327,0)</f>
        <v>0</v>
      </c>
      <c r="AG327" s="45">
        <f>IF(AQ327="2",BI327,0)</f>
        <v>0</v>
      </c>
      <c r="AH327" s="45">
        <f>IF(AQ327="0",BJ327,0)</f>
        <v>0</v>
      </c>
      <c r="AI327" s="22" t="s">
        <v>495</v>
      </c>
      <c r="AJ327" s="45">
        <f>IF(AN327=0,J327,0)</f>
        <v>0</v>
      </c>
      <c r="AK327" s="45">
        <f>IF(AN327=12,J327,0)</f>
        <v>0</v>
      </c>
      <c r="AL327" s="45">
        <f>IF(AN327=21,J327,0)</f>
        <v>0</v>
      </c>
      <c r="AN327" s="45">
        <v>21</v>
      </c>
      <c r="AO327" s="45">
        <f>G327*0</f>
        <v>0</v>
      </c>
      <c r="AP327" s="45">
        <f>G327*(1-0)</f>
        <v>0</v>
      </c>
      <c r="AQ327" s="28" t="s">
        <v>692</v>
      </c>
      <c r="AV327" s="45">
        <f>AW327+AX327</f>
        <v>0</v>
      </c>
      <c r="AW327" s="45">
        <f>F327*AO327</f>
        <v>0</v>
      </c>
      <c r="AX327" s="45">
        <f>F327*AP327</f>
        <v>0</v>
      </c>
      <c r="AY327" s="28" t="s">
        <v>630</v>
      </c>
      <c r="AZ327" s="28" t="s">
        <v>247</v>
      </c>
      <c r="BA327" s="22" t="s">
        <v>544</v>
      </c>
      <c r="BC327" s="45">
        <f>AW327+AX327</f>
        <v>0</v>
      </c>
      <c r="BD327" s="45">
        <f>G327/(100-BE327)*100</f>
        <v>0</v>
      </c>
      <c r="BE327" s="45">
        <v>0</v>
      </c>
      <c r="BF327" s="45">
        <f>327</f>
        <v>327</v>
      </c>
      <c r="BH327" s="45">
        <f>F327*AO327</f>
        <v>0</v>
      </c>
      <c r="BI327" s="45">
        <f>F327*AP327</f>
        <v>0</v>
      </c>
      <c r="BJ327" s="45">
        <f>F327*G327</f>
        <v>0</v>
      </c>
      <c r="BK327" s="45"/>
      <c r="BL327" s="45">
        <v>96</v>
      </c>
      <c r="BW327" s="45">
        <v>21</v>
      </c>
    </row>
    <row r="328" spans="1:75" ht="15" customHeight="1">
      <c r="A328" s="49"/>
      <c r="C328" s="12" t="s">
        <v>779</v>
      </c>
      <c r="D328" s="12" t="s">
        <v>495</v>
      </c>
      <c r="F328" s="47">
        <v>12.250000000000002</v>
      </c>
      <c r="K328" s="16"/>
    </row>
    <row r="329" spans="1:75" ht="15" customHeight="1">
      <c r="A329" s="42" t="s">
        <v>495</v>
      </c>
      <c r="B329" s="39" t="s">
        <v>218</v>
      </c>
      <c r="C329" s="79" t="s">
        <v>400</v>
      </c>
      <c r="D329" s="80"/>
      <c r="E329" s="27" t="s">
        <v>653</v>
      </c>
      <c r="F329" s="27" t="s">
        <v>653</v>
      </c>
      <c r="G329" s="27" t="s">
        <v>653</v>
      </c>
      <c r="H329" s="11">
        <f>SUM(H330:H334)</f>
        <v>0</v>
      </c>
      <c r="I329" s="11">
        <f>SUM(I330:I334)</f>
        <v>0</v>
      </c>
      <c r="J329" s="11">
        <f>SUM(J330:J334)</f>
        <v>0</v>
      </c>
      <c r="K329" s="50" t="s">
        <v>495</v>
      </c>
      <c r="AI329" s="22" t="s">
        <v>495</v>
      </c>
      <c r="AS329" s="11">
        <f>SUM(AJ330:AJ334)</f>
        <v>0</v>
      </c>
      <c r="AT329" s="11">
        <f>SUM(AK330:AK334)</f>
        <v>0</v>
      </c>
      <c r="AU329" s="11">
        <f>SUM(AL330:AL334)</f>
        <v>0</v>
      </c>
    </row>
    <row r="330" spans="1:75" ht="13.5" customHeight="1">
      <c r="A330" s="15" t="s">
        <v>120</v>
      </c>
      <c r="B330" s="4" t="s">
        <v>540</v>
      </c>
      <c r="C330" s="66" t="s">
        <v>762</v>
      </c>
      <c r="D330" s="63"/>
      <c r="E330" s="4" t="s">
        <v>168</v>
      </c>
      <c r="F330" s="45">
        <v>1</v>
      </c>
      <c r="G330" s="45">
        <v>0</v>
      </c>
      <c r="H330" s="45">
        <f>F330*AO330</f>
        <v>0</v>
      </c>
      <c r="I330" s="45">
        <f>F330*AP330</f>
        <v>0</v>
      </c>
      <c r="J330" s="45">
        <f>F330*G330</f>
        <v>0</v>
      </c>
      <c r="K330" s="43" t="s">
        <v>495</v>
      </c>
      <c r="Z330" s="45">
        <f>IF(AQ330="5",BJ330,0)</f>
        <v>0</v>
      </c>
      <c r="AB330" s="45">
        <f>IF(AQ330="1",BH330,0)</f>
        <v>0</v>
      </c>
      <c r="AC330" s="45">
        <f>IF(AQ330="1",BI330,0)</f>
        <v>0</v>
      </c>
      <c r="AD330" s="45">
        <f>IF(AQ330="7",BH330,0)</f>
        <v>0</v>
      </c>
      <c r="AE330" s="45">
        <f>IF(AQ330="7",BI330,0)</f>
        <v>0</v>
      </c>
      <c r="AF330" s="45">
        <f>IF(AQ330="2",BH330,0)</f>
        <v>0</v>
      </c>
      <c r="AG330" s="45">
        <f>IF(AQ330="2",BI330,0)</f>
        <v>0</v>
      </c>
      <c r="AH330" s="45">
        <f>IF(AQ330="0",BJ330,0)</f>
        <v>0</v>
      </c>
      <c r="AI330" s="22" t="s">
        <v>495</v>
      </c>
      <c r="AJ330" s="45">
        <f>IF(AN330=0,J330,0)</f>
        <v>0</v>
      </c>
      <c r="AK330" s="45">
        <f>IF(AN330=12,J330,0)</f>
        <v>0</v>
      </c>
      <c r="AL330" s="45">
        <f>IF(AN330=21,J330,0)</f>
        <v>0</v>
      </c>
      <c r="AN330" s="45">
        <v>21</v>
      </c>
      <c r="AO330" s="45">
        <f>G330*0</f>
        <v>0</v>
      </c>
      <c r="AP330" s="45">
        <f>G330*(1-0)</f>
        <v>0</v>
      </c>
      <c r="AQ330" s="28" t="s">
        <v>692</v>
      </c>
      <c r="AV330" s="45">
        <f>AW330+AX330</f>
        <v>0</v>
      </c>
      <c r="AW330" s="45">
        <f>F330*AO330</f>
        <v>0</v>
      </c>
      <c r="AX330" s="45">
        <f>F330*AP330</f>
        <v>0</v>
      </c>
      <c r="AY330" s="28" t="s">
        <v>122</v>
      </c>
      <c r="AZ330" s="28" t="s">
        <v>247</v>
      </c>
      <c r="BA330" s="22" t="s">
        <v>544</v>
      </c>
      <c r="BC330" s="45">
        <f>AW330+AX330</f>
        <v>0</v>
      </c>
      <c r="BD330" s="45">
        <f>G330/(100-BE330)*100</f>
        <v>0</v>
      </c>
      <c r="BE330" s="45">
        <v>0</v>
      </c>
      <c r="BF330" s="45">
        <f>330</f>
        <v>330</v>
      </c>
      <c r="BH330" s="45">
        <f>F330*AO330</f>
        <v>0</v>
      </c>
      <c r="BI330" s="45">
        <f>F330*AP330</f>
        <v>0</v>
      </c>
      <c r="BJ330" s="45">
        <f>F330*G330</f>
        <v>0</v>
      </c>
      <c r="BK330" s="45"/>
      <c r="BL330" s="45">
        <v>968</v>
      </c>
      <c r="BW330" s="45">
        <v>21</v>
      </c>
    </row>
    <row r="331" spans="1:75" ht="15" customHeight="1">
      <c r="A331" s="49"/>
      <c r="C331" s="12" t="s">
        <v>596</v>
      </c>
      <c r="D331" s="12" t="s">
        <v>495</v>
      </c>
      <c r="F331" s="47">
        <v>1</v>
      </c>
      <c r="K331" s="16"/>
    </row>
    <row r="332" spans="1:75" ht="13.5" customHeight="1">
      <c r="A332" s="15" t="s">
        <v>159</v>
      </c>
      <c r="B332" s="4" t="s">
        <v>558</v>
      </c>
      <c r="C332" s="66" t="s">
        <v>573</v>
      </c>
      <c r="D332" s="63"/>
      <c r="E332" s="4" t="s">
        <v>168</v>
      </c>
      <c r="F332" s="45">
        <v>2</v>
      </c>
      <c r="G332" s="45">
        <v>0</v>
      </c>
      <c r="H332" s="45">
        <f>F332*AO332</f>
        <v>0</v>
      </c>
      <c r="I332" s="45">
        <f>F332*AP332</f>
        <v>0</v>
      </c>
      <c r="J332" s="45">
        <f>F332*G332</f>
        <v>0</v>
      </c>
      <c r="K332" s="43" t="s">
        <v>495</v>
      </c>
      <c r="Z332" s="45">
        <f>IF(AQ332="5",BJ332,0)</f>
        <v>0</v>
      </c>
      <c r="AB332" s="45">
        <f>IF(AQ332="1",BH332,0)</f>
        <v>0</v>
      </c>
      <c r="AC332" s="45">
        <f>IF(AQ332="1",BI332,0)</f>
        <v>0</v>
      </c>
      <c r="AD332" s="45">
        <f>IF(AQ332="7",BH332,0)</f>
        <v>0</v>
      </c>
      <c r="AE332" s="45">
        <f>IF(AQ332="7",BI332,0)</f>
        <v>0</v>
      </c>
      <c r="AF332" s="45">
        <f>IF(AQ332="2",BH332,0)</f>
        <v>0</v>
      </c>
      <c r="AG332" s="45">
        <f>IF(AQ332="2",BI332,0)</f>
        <v>0</v>
      </c>
      <c r="AH332" s="45">
        <f>IF(AQ332="0",BJ332,0)</f>
        <v>0</v>
      </c>
      <c r="AI332" s="22" t="s">
        <v>495</v>
      </c>
      <c r="AJ332" s="45">
        <f>IF(AN332=0,J332,0)</f>
        <v>0</v>
      </c>
      <c r="AK332" s="45">
        <f>IF(AN332=12,J332,0)</f>
        <v>0</v>
      </c>
      <c r="AL332" s="45">
        <f>IF(AN332=21,J332,0)</f>
        <v>0</v>
      </c>
      <c r="AN332" s="45">
        <v>21</v>
      </c>
      <c r="AO332" s="45">
        <f>G332*0</f>
        <v>0</v>
      </c>
      <c r="AP332" s="45">
        <f>G332*(1-0)</f>
        <v>0</v>
      </c>
      <c r="AQ332" s="28" t="s">
        <v>692</v>
      </c>
      <c r="AV332" s="45">
        <f>AW332+AX332</f>
        <v>0</v>
      </c>
      <c r="AW332" s="45">
        <f>F332*AO332</f>
        <v>0</v>
      </c>
      <c r="AX332" s="45">
        <f>F332*AP332</f>
        <v>0</v>
      </c>
      <c r="AY332" s="28" t="s">
        <v>122</v>
      </c>
      <c r="AZ332" s="28" t="s">
        <v>247</v>
      </c>
      <c r="BA332" s="22" t="s">
        <v>544</v>
      </c>
      <c r="BC332" s="45">
        <f>AW332+AX332</f>
        <v>0</v>
      </c>
      <c r="BD332" s="45">
        <f>G332/(100-BE332)*100</f>
        <v>0</v>
      </c>
      <c r="BE332" s="45">
        <v>0</v>
      </c>
      <c r="BF332" s="45">
        <f>332</f>
        <v>332</v>
      </c>
      <c r="BH332" s="45">
        <f>F332*AO332</f>
        <v>0</v>
      </c>
      <c r="BI332" s="45">
        <f>F332*AP332</f>
        <v>0</v>
      </c>
      <c r="BJ332" s="45">
        <f>F332*G332</f>
        <v>0</v>
      </c>
      <c r="BK332" s="45"/>
      <c r="BL332" s="45">
        <v>968</v>
      </c>
      <c r="BW332" s="45">
        <v>21</v>
      </c>
    </row>
    <row r="333" spans="1:75" ht="15" customHeight="1">
      <c r="A333" s="49"/>
      <c r="C333" s="12" t="s">
        <v>388</v>
      </c>
      <c r="D333" s="12" t="s">
        <v>495</v>
      </c>
      <c r="F333" s="47">
        <v>2</v>
      </c>
      <c r="K333" s="16"/>
    </row>
    <row r="334" spans="1:75" ht="13.5" customHeight="1">
      <c r="A334" s="15" t="s">
        <v>67</v>
      </c>
      <c r="B334" s="4" t="s">
        <v>366</v>
      </c>
      <c r="C334" s="66" t="s">
        <v>97</v>
      </c>
      <c r="D334" s="63"/>
      <c r="E334" s="4" t="s">
        <v>168</v>
      </c>
      <c r="F334" s="45">
        <v>1</v>
      </c>
      <c r="G334" s="45">
        <v>0</v>
      </c>
      <c r="H334" s="45">
        <f>F334*AO334</f>
        <v>0</v>
      </c>
      <c r="I334" s="45">
        <f>F334*AP334</f>
        <v>0</v>
      </c>
      <c r="J334" s="45">
        <f>F334*G334</f>
        <v>0</v>
      </c>
      <c r="K334" s="43" t="s">
        <v>495</v>
      </c>
      <c r="Z334" s="45">
        <f>IF(AQ334="5",BJ334,0)</f>
        <v>0</v>
      </c>
      <c r="AB334" s="45">
        <f>IF(AQ334="1",BH334,0)</f>
        <v>0</v>
      </c>
      <c r="AC334" s="45">
        <f>IF(AQ334="1",BI334,0)</f>
        <v>0</v>
      </c>
      <c r="AD334" s="45">
        <f>IF(AQ334="7",BH334,0)</f>
        <v>0</v>
      </c>
      <c r="AE334" s="45">
        <f>IF(AQ334="7",BI334,0)</f>
        <v>0</v>
      </c>
      <c r="AF334" s="45">
        <f>IF(AQ334="2",BH334,0)</f>
        <v>0</v>
      </c>
      <c r="AG334" s="45">
        <f>IF(AQ334="2",BI334,0)</f>
        <v>0</v>
      </c>
      <c r="AH334" s="45">
        <f>IF(AQ334="0",BJ334,0)</f>
        <v>0</v>
      </c>
      <c r="AI334" s="22" t="s">
        <v>495</v>
      </c>
      <c r="AJ334" s="45">
        <f>IF(AN334=0,J334,0)</f>
        <v>0</v>
      </c>
      <c r="AK334" s="45">
        <f>IF(AN334=12,J334,0)</f>
        <v>0</v>
      </c>
      <c r="AL334" s="45">
        <f>IF(AN334=21,J334,0)</f>
        <v>0</v>
      </c>
      <c r="AN334" s="45">
        <v>21</v>
      </c>
      <c r="AO334" s="45">
        <f>G334*0.25</f>
        <v>0</v>
      </c>
      <c r="AP334" s="45">
        <f>G334*(1-0.25)</f>
        <v>0</v>
      </c>
      <c r="AQ334" s="28" t="s">
        <v>692</v>
      </c>
      <c r="AV334" s="45">
        <f>AW334+AX334</f>
        <v>0</v>
      </c>
      <c r="AW334" s="45">
        <f>F334*AO334</f>
        <v>0</v>
      </c>
      <c r="AX334" s="45">
        <f>F334*AP334</f>
        <v>0</v>
      </c>
      <c r="AY334" s="28" t="s">
        <v>122</v>
      </c>
      <c r="AZ334" s="28" t="s">
        <v>247</v>
      </c>
      <c r="BA334" s="22" t="s">
        <v>544</v>
      </c>
      <c r="BC334" s="45">
        <f>AW334+AX334</f>
        <v>0</v>
      </c>
      <c r="BD334" s="45">
        <f>G334/(100-BE334)*100</f>
        <v>0</v>
      </c>
      <c r="BE334" s="45">
        <v>0</v>
      </c>
      <c r="BF334" s="45">
        <f>334</f>
        <v>334</v>
      </c>
      <c r="BH334" s="45">
        <f>F334*AO334</f>
        <v>0</v>
      </c>
      <c r="BI334" s="45">
        <f>F334*AP334</f>
        <v>0</v>
      </c>
      <c r="BJ334" s="45">
        <f>F334*G334</f>
        <v>0</v>
      </c>
      <c r="BK334" s="45"/>
      <c r="BL334" s="45">
        <v>968</v>
      </c>
      <c r="BW334" s="45">
        <v>21</v>
      </c>
    </row>
    <row r="335" spans="1:75" ht="15" customHeight="1">
      <c r="A335" s="49"/>
      <c r="C335" s="12" t="s">
        <v>108</v>
      </c>
      <c r="D335" s="12" t="s">
        <v>495</v>
      </c>
      <c r="F335" s="47">
        <v>1</v>
      </c>
      <c r="K335" s="16"/>
    </row>
    <row r="336" spans="1:75" ht="15" customHeight="1">
      <c r="A336" s="42" t="s">
        <v>495</v>
      </c>
      <c r="B336" s="39" t="s">
        <v>737</v>
      </c>
      <c r="C336" s="79" t="s">
        <v>233</v>
      </c>
      <c r="D336" s="80"/>
      <c r="E336" s="27" t="s">
        <v>653</v>
      </c>
      <c r="F336" s="27" t="s">
        <v>653</v>
      </c>
      <c r="G336" s="27" t="s">
        <v>653</v>
      </c>
      <c r="H336" s="11">
        <f>SUM(H337:H337)</f>
        <v>0</v>
      </c>
      <c r="I336" s="11">
        <f>SUM(I337:I337)</f>
        <v>0</v>
      </c>
      <c r="J336" s="11">
        <f>SUM(J337:J337)</f>
        <v>0</v>
      </c>
      <c r="K336" s="50" t="s">
        <v>495</v>
      </c>
      <c r="AI336" s="22" t="s">
        <v>495</v>
      </c>
      <c r="AS336" s="11">
        <f>SUM(AJ337:AJ337)</f>
        <v>0</v>
      </c>
      <c r="AT336" s="11">
        <f>SUM(AK337:AK337)</f>
        <v>0</v>
      </c>
      <c r="AU336" s="11">
        <f>SUM(AL337:AL337)</f>
        <v>0</v>
      </c>
    </row>
    <row r="337" spans="1:75" ht="13.5" customHeight="1">
      <c r="A337" s="15" t="s">
        <v>93</v>
      </c>
      <c r="B337" s="4" t="s">
        <v>141</v>
      </c>
      <c r="C337" s="66" t="s">
        <v>116</v>
      </c>
      <c r="D337" s="63"/>
      <c r="E337" s="4" t="s">
        <v>331</v>
      </c>
      <c r="F337" s="45">
        <v>60.221539999999997</v>
      </c>
      <c r="G337" s="45">
        <v>0</v>
      </c>
      <c r="H337" s="45">
        <f>F337*AO337</f>
        <v>0</v>
      </c>
      <c r="I337" s="45">
        <f>F337*AP337</f>
        <v>0</v>
      </c>
      <c r="J337" s="45">
        <f>F337*G337</f>
        <v>0</v>
      </c>
      <c r="K337" s="43" t="s">
        <v>319</v>
      </c>
      <c r="Z337" s="45">
        <f>IF(AQ337="5",BJ337,0)</f>
        <v>0</v>
      </c>
      <c r="AB337" s="45">
        <f>IF(AQ337="1",BH337,0)</f>
        <v>0</v>
      </c>
      <c r="AC337" s="45">
        <f>IF(AQ337="1",BI337,0)</f>
        <v>0</v>
      </c>
      <c r="AD337" s="45">
        <f>IF(AQ337="7",BH337,0)</f>
        <v>0</v>
      </c>
      <c r="AE337" s="45">
        <f>IF(AQ337="7",BI337,0)</f>
        <v>0</v>
      </c>
      <c r="AF337" s="45">
        <f>IF(AQ337="2",BH337,0)</f>
        <v>0</v>
      </c>
      <c r="AG337" s="45">
        <f>IF(AQ337="2",BI337,0)</f>
        <v>0</v>
      </c>
      <c r="AH337" s="45">
        <f>IF(AQ337="0",BJ337,0)</f>
        <v>0</v>
      </c>
      <c r="AI337" s="22" t="s">
        <v>495</v>
      </c>
      <c r="AJ337" s="45">
        <f>IF(AN337=0,J337,0)</f>
        <v>0</v>
      </c>
      <c r="AK337" s="45">
        <f>IF(AN337=12,J337,0)</f>
        <v>0</v>
      </c>
      <c r="AL337" s="45">
        <f>IF(AN337=21,J337,0)</f>
        <v>0</v>
      </c>
      <c r="AN337" s="45">
        <v>21</v>
      </c>
      <c r="AO337" s="45">
        <f>G337*0</f>
        <v>0</v>
      </c>
      <c r="AP337" s="45">
        <f>G337*(1-0)</f>
        <v>0</v>
      </c>
      <c r="AQ337" s="28" t="s">
        <v>383</v>
      </c>
      <c r="AV337" s="45">
        <f>AW337+AX337</f>
        <v>0</v>
      </c>
      <c r="AW337" s="45">
        <f>F337*AO337</f>
        <v>0</v>
      </c>
      <c r="AX337" s="45">
        <f>F337*AP337</f>
        <v>0</v>
      </c>
      <c r="AY337" s="28" t="s">
        <v>372</v>
      </c>
      <c r="AZ337" s="28" t="s">
        <v>247</v>
      </c>
      <c r="BA337" s="22" t="s">
        <v>544</v>
      </c>
      <c r="BC337" s="45">
        <f>AW337+AX337</f>
        <v>0</v>
      </c>
      <c r="BD337" s="45">
        <f>G337/(100-BE337)*100</f>
        <v>0</v>
      </c>
      <c r="BE337" s="45">
        <v>0</v>
      </c>
      <c r="BF337" s="45">
        <f>337</f>
        <v>337</v>
      </c>
      <c r="BH337" s="45">
        <f>F337*AO337</f>
        <v>0</v>
      </c>
      <c r="BI337" s="45">
        <f>F337*AP337</f>
        <v>0</v>
      </c>
      <c r="BJ337" s="45">
        <f>F337*G337</f>
        <v>0</v>
      </c>
      <c r="BK337" s="45"/>
      <c r="BL337" s="45"/>
      <c r="BW337" s="45">
        <v>21</v>
      </c>
    </row>
    <row r="338" spans="1:75" ht="15" customHeight="1">
      <c r="A338" s="49"/>
      <c r="C338" s="12" t="s">
        <v>733</v>
      </c>
      <c r="D338" s="12" t="s">
        <v>495</v>
      </c>
      <c r="F338" s="47">
        <v>60.221540000000005</v>
      </c>
      <c r="K338" s="16"/>
    </row>
    <row r="339" spans="1:75" ht="15" customHeight="1">
      <c r="A339" s="42" t="s">
        <v>495</v>
      </c>
      <c r="B339" s="39" t="s">
        <v>412</v>
      </c>
      <c r="C339" s="79" t="s">
        <v>442</v>
      </c>
      <c r="D339" s="80"/>
      <c r="E339" s="27" t="s">
        <v>653</v>
      </c>
      <c r="F339" s="27" t="s">
        <v>653</v>
      </c>
      <c r="G339" s="27" t="s">
        <v>653</v>
      </c>
      <c r="H339" s="11">
        <f>SUM(H340:H340)</f>
        <v>0</v>
      </c>
      <c r="I339" s="11">
        <f>SUM(I340:I340)</f>
        <v>0</v>
      </c>
      <c r="J339" s="11">
        <f>SUM(J340:J340)</f>
        <v>0</v>
      </c>
      <c r="K339" s="50" t="s">
        <v>495</v>
      </c>
      <c r="AI339" s="22" t="s">
        <v>495</v>
      </c>
      <c r="AS339" s="11">
        <f>SUM(AJ340:AJ340)</f>
        <v>0</v>
      </c>
      <c r="AT339" s="11">
        <f>SUM(AK340:AK340)</f>
        <v>0</v>
      </c>
      <c r="AU339" s="11">
        <f>SUM(AL340:AL340)</f>
        <v>0</v>
      </c>
    </row>
    <row r="340" spans="1:75" ht="13.5" customHeight="1">
      <c r="A340" s="15" t="s">
        <v>660</v>
      </c>
      <c r="B340" s="4" t="s">
        <v>432</v>
      </c>
      <c r="C340" s="66" t="s">
        <v>348</v>
      </c>
      <c r="D340" s="63"/>
      <c r="E340" s="4" t="s">
        <v>686</v>
      </c>
      <c r="F340" s="45">
        <v>10</v>
      </c>
      <c r="G340" s="45">
        <v>0</v>
      </c>
      <c r="H340" s="45">
        <f>F340*AO340</f>
        <v>0</v>
      </c>
      <c r="I340" s="45">
        <f>F340*AP340</f>
        <v>0</v>
      </c>
      <c r="J340" s="45">
        <f>F340*G340</f>
        <v>0</v>
      </c>
      <c r="K340" s="43" t="s">
        <v>319</v>
      </c>
      <c r="Z340" s="45">
        <f>IF(AQ340="5",BJ340,0)</f>
        <v>0</v>
      </c>
      <c r="AB340" s="45">
        <f>IF(AQ340="1",BH340,0)</f>
        <v>0</v>
      </c>
      <c r="AC340" s="45">
        <f>IF(AQ340="1",BI340,0)</f>
        <v>0</v>
      </c>
      <c r="AD340" s="45">
        <f>IF(AQ340="7",BH340,0)</f>
        <v>0</v>
      </c>
      <c r="AE340" s="45">
        <f>IF(AQ340="7",BI340,0)</f>
        <v>0</v>
      </c>
      <c r="AF340" s="45">
        <f>IF(AQ340="2",BH340,0)</f>
        <v>0</v>
      </c>
      <c r="AG340" s="45">
        <f>IF(AQ340="2",BI340,0)</f>
        <v>0</v>
      </c>
      <c r="AH340" s="45">
        <f>IF(AQ340="0",BJ340,0)</f>
        <v>0</v>
      </c>
      <c r="AI340" s="22" t="s">
        <v>495</v>
      </c>
      <c r="AJ340" s="45">
        <f>IF(AN340=0,J340,0)</f>
        <v>0</v>
      </c>
      <c r="AK340" s="45">
        <f>IF(AN340=12,J340,0)</f>
        <v>0</v>
      </c>
      <c r="AL340" s="45">
        <f>IF(AN340=21,J340,0)</f>
        <v>0</v>
      </c>
      <c r="AN340" s="45">
        <v>21</v>
      </c>
      <c r="AO340" s="45">
        <f>G340*0.131274131274131</f>
        <v>0</v>
      </c>
      <c r="AP340" s="45">
        <f>G340*(1-0.131274131274131)</f>
        <v>0</v>
      </c>
      <c r="AQ340" s="28" t="s">
        <v>491</v>
      </c>
      <c r="AV340" s="45">
        <f>AW340+AX340</f>
        <v>0</v>
      </c>
      <c r="AW340" s="45">
        <f>F340*AO340</f>
        <v>0</v>
      </c>
      <c r="AX340" s="45">
        <f>F340*AP340</f>
        <v>0</v>
      </c>
      <c r="AY340" s="28" t="s">
        <v>629</v>
      </c>
      <c r="AZ340" s="28" t="s">
        <v>247</v>
      </c>
      <c r="BA340" s="22" t="s">
        <v>544</v>
      </c>
      <c r="BC340" s="45">
        <f>AW340+AX340</f>
        <v>0</v>
      </c>
      <c r="BD340" s="45">
        <f>G340/(100-BE340)*100</f>
        <v>0</v>
      </c>
      <c r="BE340" s="45">
        <v>0</v>
      </c>
      <c r="BF340" s="45">
        <f>340</f>
        <v>340</v>
      </c>
      <c r="BH340" s="45">
        <f>F340*AO340</f>
        <v>0</v>
      </c>
      <c r="BI340" s="45">
        <f>F340*AP340</f>
        <v>0</v>
      </c>
      <c r="BJ340" s="45">
        <f>F340*G340</f>
        <v>0</v>
      </c>
      <c r="BK340" s="45"/>
      <c r="BL340" s="45"/>
      <c r="BW340" s="45">
        <v>21</v>
      </c>
    </row>
    <row r="341" spans="1:75" ht="15" customHeight="1">
      <c r="A341" s="49"/>
      <c r="C341" s="12" t="s">
        <v>296</v>
      </c>
      <c r="D341" s="12" t="s">
        <v>495</v>
      </c>
      <c r="F341" s="47">
        <v>10</v>
      </c>
      <c r="K341" s="16"/>
    </row>
    <row r="342" spans="1:75" ht="15" customHeight="1">
      <c r="A342" s="42" t="s">
        <v>495</v>
      </c>
      <c r="B342" s="39" t="s">
        <v>220</v>
      </c>
      <c r="C342" s="79" t="s">
        <v>303</v>
      </c>
      <c r="D342" s="80"/>
      <c r="E342" s="27" t="s">
        <v>653</v>
      </c>
      <c r="F342" s="27" t="s">
        <v>653</v>
      </c>
      <c r="G342" s="27" t="s">
        <v>653</v>
      </c>
      <c r="H342" s="11">
        <f>SUM(H343:H367)</f>
        <v>0</v>
      </c>
      <c r="I342" s="11">
        <f>SUM(I343:I367)</f>
        <v>0</v>
      </c>
      <c r="J342" s="11">
        <f>SUM(J343:J367)</f>
        <v>0</v>
      </c>
      <c r="K342" s="50" t="s">
        <v>495</v>
      </c>
      <c r="AI342" s="22" t="s">
        <v>495</v>
      </c>
      <c r="AS342" s="11">
        <f>SUM(AJ343:AJ367)</f>
        <v>0</v>
      </c>
      <c r="AT342" s="11">
        <f>SUM(AK343:AK367)</f>
        <v>0</v>
      </c>
      <c r="AU342" s="11">
        <f>SUM(AL343:AL367)</f>
        <v>0</v>
      </c>
    </row>
    <row r="343" spans="1:75" ht="13.5" customHeight="1">
      <c r="A343" s="15" t="s">
        <v>517</v>
      </c>
      <c r="B343" s="4" t="s">
        <v>140</v>
      </c>
      <c r="C343" s="66" t="s">
        <v>189</v>
      </c>
      <c r="D343" s="63"/>
      <c r="E343" s="4" t="s">
        <v>331</v>
      </c>
      <c r="F343" s="45">
        <v>52.048110000000001</v>
      </c>
      <c r="G343" s="45">
        <v>0</v>
      </c>
      <c r="H343" s="45">
        <f>F343*AO343</f>
        <v>0</v>
      </c>
      <c r="I343" s="45">
        <f>F343*AP343</f>
        <v>0</v>
      </c>
      <c r="J343" s="45">
        <f>F343*G343</f>
        <v>0</v>
      </c>
      <c r="K343" s="43" t="s">
        <v>319</v>
      </c>
      <c r="Z343" s="45">
        <f>IF(AQ343="5",BJ343,0)</f>
        <v>0</v>
      </c>
      <c r="AB343" s="45">
        <f>IF(AQ343="1",BH343,0)</f>
        <v>0</v>
      </c>
      <c r="AC343" s="45">
        <f>IF(AQ343="1",BI343,0)</f>
        <v>0</v>
      </c>
      <c r="AD343" s="45">
        <f>IF(AQ343="7",BH343,0)</f>
        <v>0</v>
      </c>
      <c r="AE343" s="45">
        <f>IF(AQ343="7",BI343,0)</f>
        <v>0</v>
      </c>
      <c r="AF343" s="45">
        <f>IF(AQ343="2",BH343,0)</f>
        <v>0</v>
      </c>
      <c r="AG343" s="45">
        <f>IF(AQ343="2",BI343,0)</f>
        <v>0</v>
      </c>
      <c r="AH343" s="45">
        <f>IF(AQ343="0",BJ343,0)</f>
        <v>0</v>
      </c>
      <c r="AI343" s="22" t="s">
        <v>495</v>
      </c>
      <c r="AJ343" s="45">
        <f>IF(AN343=0,J343,0)</f>
        <v>0</v>
      </c>
      <c r="AK343" s="45">
        <f>IF(AN343=12,J343,0)</f>
        <v>0</v>
      </c>
      <c r="AL343" s="45">
        <f>IF(AN343=21,J343,0)</f>
        <v>0</v>
      </c>
      <c r="AN343" s="45">
        <v>21</v>
      </c>
      <c r="AO343" s="45">
        <f>G343*0</f>
        <v>0</v>
      </c>
      <c r="AP343" s="45">
        <f>G343*(1-0)</f>
        <v>0</v>
      </c>
      <c r="AQ343" s="28" t="s">
        <v>383</v>
      </c>
      <c r="AV343" s="45">
        <f>AW343+AX343</f>
        <v>0</v>
      </c>
      <c r="AW343" s="45">
        <f>F343*AO343</f>
        <v>0</v>
      </c>
      <c r="AX343" s="45">
        <f>F343*AP343</f>
        <v>0</v>
      </c>
      <c r="AY343" s="28" t="s">
        <v>288</v>
      </c>
      <c r="AZ343" s="28" t="s">
        <v>247</v>
      </c>
      <c r="BA343" s="22" t="s">
        <v>544</v>
      </c>
      <c r="BC343" s="45">
        <f>AW343+AX343</f>
        <v>0</v>
      </c>
      <c r="BD343" s="45">
        <f>G343/(100-BE343)*100</f>
        <v>0</v>
      </c>
      <c r="BE343" s="45">
        <v>0</v>
      </c>
      <c r="BF343" s="45">
        <f>343</f>
        <v>343</v>
      </c>
      <c r="BH343" s="45">
        <f>F343*AO343</f>
        <v>0</v>
      </c>
      <c r="BI343" s="45">
        <f>F343*AP343</f>
        <v>0</v>
      </c>
      <c r="BJ343" s="45">
        <f>F343*G343</f>
        <v>0</v>
      </c>
      <c r="BK343" s="45"/>
      <c r="BL343" s="45"/>
      <c r="BW343" s="45">
        <v>21</v>
      </c>
    </row>
    <row r="344" spans="1:75" ht="15" customHeight="1">
      <c r="A344" s="49"/>
      <c r="C344" s="12" t="s">
        <v>704</v>
      </c>
      <c r="D344" s="12" t="s">
        <v>495</v>
      </c>
      <c r="F344" s="47">
        <v>52.048110000000001</v>
      </c>
      <c r="K344" s="16"/>
    </row>
    <row r="345" spans="1:75" ht="13.5" customHeight="1">
      <c r="A345" s="15" t="s">
        <v>347</v>
      </c>
      <c r="B345" s="4" t="s">
        <v>443</v>
      </c>
      <c r="C345" s="66" t="s">
        <v>529</v>
      </c>
      <c r="D345" s="63"/>
      <c r="E345" s="4" t="s">
        <v>331</v>
      </c>
      <c r="F345" s="45">
        <v>52.048110000000001</v>
      </c>
      <c r="G345" s="45">
        <v>0</v>
      </c>
      <c r="H345" s="45">
        <f>F345*AO345</f>
        <v>0</v>
      </c>
      <c r="I345" s="45">
        <f>F345*AP345</f>
        <v>0</v>
      </c>
      <c r="J345" s="45">
        <f>F345*G345</f>
        <v>0</v>
      </c>
      <c r="K345" s="43" t="s">
        <v>319</v>
      </c>
      <c r="Z345" s="45">
        <f>IF(AQ345="5",BJ345,0)</f>
        <v>0</v>
      </c>
      <c r="AB345" s="45">
        <f>IF(AQ345="1",BH345,0)</f>
        <v>0</v>
      </c>
      <c r="AC345" s="45">
        <f>IF(AQ345="1",BI345,0)</f>
        <v>0</v>
      </c>
      <c r="AD345" s="45">
        <f>IF(AQ345="7",BH345,0)</f>
        <v>0</v>
      </c>
      <c r="AE345" s="45">
        <f>IF(AQ345="7",BI345,0)</f>
        <v>0</v>
      </c>
      <c r="AF345" s="45">
        <f>IF(AQ345="2",BH345,0)</f>
        <v>0</v>
      </c>
      <c r="AG345" s="45">
        <f>IF(AQ345="2",BI345,0)</f>
        <v>0</v>
      </c>
      <c r="AH345" s="45">
        <f>IF(AQ345="0",BJ345,0)</f>
        <v>0</v>
      </c>
      <c r="AI345" s="22" t="s">
        <v>495</v>
      </c>
      <c r="AJ345" s="45">
        <f>IF(AN345=0,J345,0)</f>
        <v>0</v>
      </c>
      <c r="AK345" s="45">
        <f>IF(AN345=12,J345,0)</f>
        <v>0</v>
      </c>
      <c r="AL345" s="45">
        <f>IF(AN345=21,J345,0)</f>
        <v>0</v>
      </c>
      <c r="AN345" s="45">
        <v>21</v>
      </c>
      <c r="AO345" s="45">
        <f>G345*0</f>
        <v>0</v>
      </c>
      <c r="AP345" s="45">
        <f>G345*(1-0)</f>
        <v>0</v>
      </c>
      <c r="AQ345" s="28" t="s">
        <v>383</v>
      </c>
      <c r="AV345" s="45">
        <f>AW345+AX345</f>
        <v>0</v>
      </c>
      <c r="AW345" s="45">
        <f>F345*AO345</f>
        <v>0</v>
      </c>
      <c r="AX345" s="45">
        <f>F345*AP345</f>
        <v>0</v>
      </c>
      <c r="AY345" s="28" t="s">
        <v>288</v>
      </c>
      <c r="AZ345" s="28" t="s">
        <v>247</v>
      </c>
      <c r="BA345" s="22" t="s">
        <v>544</v>
      </c>
      <c r="BC345" s="45">
        <f>AW345+AX345</f>
        <v>0</v>
      </c>
      <c r="BD345" s="45">
        <f>G345/(100-BE345)*100</f>
        <v>0</v>
      </c>
      <c r="BE345" s="45">
        <v>0</v>
      </c>
      <c r="BF345" s="45">
        <f>345</f>
        <v>345</v>
      </c>
      <c r="BH345" s="45">
        <f>F345*AO345</f>
        <v>0</v>
      </c>
      <c r="BI345" s="45">
        <f>F345*AP345</f>
        <v>0</v>
      </c>
      <c r="BJ345" s="45">
        <f>F345*G345</f>
        <v>0</v>
      </c>
      <c r="BK345" s="45"/>
      <c r="BL345" s="45"/>
      <c r="BW345" s="45">
        <v>21</v>
      </c>
    </row>
    <row r="346" spans="1:75" ht="15" customHeight="1">
      <c r="A346" s="49"/>
      <c r="C346" s="12" t="s">
        <v>704</v>
      </c>
      <c r="D346" s="12" t="s">
        <v>495</v>
      </c>
      <c r="F346" s="47">
        <v>52.048110000000001</v>
      </c>
      <c r="K346" s="16"/>
    </row>
    <row r="347" spans="1:75" ht="13.5" customHeight="1">
      <c r="A347" s="15" t="s">
        <v>516</v>
      </c>
      <c r="B347" s="4" t="s">
        <v>507</v>
      </c>
      <c r="C347" s="66" t="s">
        <v>523</v>
      </c>
      <c r="D347" s="63"/>
      <c r="E347" s="4" t="s">
        <v>331</v>
      </c>
      <c r="F347" s="45">
        <v>52.048110000000001</v>
      </c>
      <c r="G347" s="45">
        <v>0</v>
      </c>
      <c r="H347" s="45">
        <f>F347*AO347</f>
        <v>0</v>
      </c>
      <c r="I347" s="45">
        <f>F347*AP347</f>
        <v>0</v>
      </c>
      <c r="J347" s="45">
        <f>F347*G347</f>
        <v>0</v>
      </c>
      <c r="K347" s="43" t="s">
        <v>319</v>
      </c>
      <c r="Z347" s="45">
        <f>IF(AQ347="5",BJ347,0)</f>
        <v>0</v>
      </c>
      <c r="AB347" s="45">
        <f>IF(AQ347="1",BH347,0)</f>
        <v>0</v>
      </c>
      <c r="AC347" s="45">
        <f>IF(AQ347="1",BI347,0)</f>
        <v>0</v>
      </c>
      <c r="AD347" s="45">
        <f>IF(AQ347="7",BH347,0)</f>
        <v>0</v>
      </c>
      <c r="AE347" s="45">
        <f>IF(AQ347="7",BI347,0)</f>
        <v>0</v>
      </c>
      <c r="AF347" s="45">
        <f>IF(AQ347="2",BH347,0)</f>
        <v>0</v>
      </c>
      <c r="AG347" s="45">
        <f>IF(AQ347="2",BI347,0)</f>
        <v>0</v>
      </c>
      <c r="AH347" s="45">
        <f>IF(AQ347="0",BJ347,0)</f>
        <v>0</v>
      </c>
      <c r="AI347" s="22" t="s">
        <v>495</v>
      </c>
      <c r="AJ347" s="45">
        <f>IF(AN347=0,J347,0)</f>
        <v>0</v>
      </c>
      <c r="AK347" s="45">
        <f>IF(AN347=12,J347,0)</f>
        <v>0</v>
      </c>
      <c r="AL347" s="45">
        <f>IF(AN347=21,J347,0)</f>
        <v>0</v>
      </c>
      <c r="AN347" s="45">
        <v>21</v>
      </c>
      <c r="AO347" s="45">
        <f>G347*0</f>
        <v>0</v>
      </c>
      <c r="AP347" s="45">
        <f>G347*(1-0)</f>
        <v>0</v>
      </c>
      <c r="AQ347" s="28" t="s">
        <v>383</v>
      </c>
      <c r="AV347" s="45">
        <f>AW347+AX347</f>
        <v>0</v>
      </c>
      <c r="AW347" s="45">
        <f>F347*AO347</f>
        <v>0</v>
      </c>
      <c r="AX347" s="45">
        <f>F347*AP347</f>
        <v>0</v>
      </c>
      <c r="AY347" s="28" t="s">
        <v>288</v>
      </c>
      <c r="AZ347" s="28" t="s">
        <v>247</v>
      </c>
      <c r="BA347" s="22" t="s">
        <v>544</v>
      </c>
      <c r="BC347" s="45">
        <f>AW347+AX347</f>
        <v>0</v>
      </c>
      <c r="BD347" s="45">
        <f>G347/(100-BE347)*100</f>
        <v>0</v>
      </c>
      <c r="BE347" s="45">
        <v>0</v>
      </c>
      <c r="BF347" s="45">
        <f>347</f>
        <v>347</v>
      </c>
      <c r="BH347" s="45">
        <f>F347*AO347</f>
        <v>0</v>
      </c>
      <c r="BI347" s="45">
        <f>F347*AP347</f>
        <v>0</v>
      </c>
      <c r="BJ347" s="45">
        <f>F347*G347</f>
        <v>0</v>
      </c>
      <c r="BK347" s="45"/>
      <c r="BL347" s="45"/>
      <c r="BW347" s="45">
        <v>21</v>
      </c>
    </row>
    <row r="348" spans="1:75" ht="15" customHeight="1">
      <c r="A348" s="49"/>
      <c r="C348" s="12" t="s">
        <v>704</v>
      </c>
      <c r="D348" s="12" t="s">
        <v>495</v>
      </c>
      <c r="F348" s="47">
        <v>52.048110000000001</v>
      </c>
      <c r="K348" s="16"/>
    </row>
    <row r="349" spans="1:75" ht="13.5" customHeight="1">
      <c r="A349" s="15" t="s">
        <v>215</v>
      </c>
      <c r="B349" s="4" t="s">
        <v>470</v>
      </c>
      <c r="C349" s="66" t="s">
        <v>310</v>
      </c>
      <c r="D349" s="63"/>
      <c r="E349" s="4" t="s">
        <v>331</v>
      </c>
      <c r="F349" s="45">
        <v>988.91408999999999</v>
      </c>
      <c r="G349" s="45">
        <v>0</v>
      </c>
      <c r="H349" s="45">
        <f>F349*AO349</f>
        <v>0</v>
      </c>
      <c r="I349" s="45">
        <f>F349*AP349</f>
        <v>0</v>
      </c>
      <c r="J349" s="45">
        <f>F349*G349</f>
        <v>0</v>
      </c>
      <c r="K349" s="43" t="s">
        <v>319</v>
      </c>
      <c r="Z349" s="45">
        <f>IF(AQ349="5",BJ349,0)</f>
        <v>0</v>
      </c>
      <c r="AB349" s="45">
        <f>IF(AQ349="1",BH349,0)</f>
        <v>0</v>
      </c>
      <c r="AC349" s="45">
        <f>IF(AQ349="1",BI349,0)</f>
        <v>0</v>
      </c>
      <c r="AD349" s="45">
        <f>IF(AQ349="7",BH349,0)</f>
        <v>0</v>
      </c>
      <c r="AE349" s="45">
        <f>IF(AQ349="7",BI349,0)</f>
        <v>0</v>
      </c>
      <c r="AF349" s="45">
        <f>IF(AQ349="2",BH349,0)</f>
        <v>0</v>
      </c>
      <c r="AG349" s="45">
        <f>IF(AQ349="2",BI349,0)</f>
        <v>0</v>
      </c>
      <c r="AH349" s="45">
        <f>IF(AQ349="0",BJ349,0)</f>
        <v>0</v>
      </c>
      <c r="AI349" s="22" t="s">
        <v>495</v>
      </c>
      <c r="AJ349" s="45">
        <f>IF(AN349=0,J349,0)</f>
        <v>0</v>
      </c>
      <c r="AK349" s="45">
        <f>IF(AN349=12,J349,0)</f>
        <v>0</v>
      </c>
      <c r="AL349" s="45">
        <f>IF(AN349=21,J349,0)</f>
        <v>0</v>
      </c>
      <c r="AN349" s="45">
        <v>21</v>
      </c>
      <c r="AO349" s="45">
        <f>G349*0</f>
        <v>0</v>
      </c>
      <c r="AP349" s="45">
        <f>G349*(1-0)</f>
        <v>0</v>
      </c>
      <c r="AQ349" s="28" t="s">
        <v>383</v>
      </c>
      <c r="AV349" s="45">
        <f>AW349+AX349</f>
        <v>0</v>
      </c>
      <c r="AW349" s="45">
        <f>F349*AO349</f>
        <v>0</v>
      </c>
      <c r="AX349" s="45">
        <f>F349*AP349</f>
        <v>0</v>
      </c>
      <c r="AY349" s="28" t="s">
        <v>288</v>
      </c>
      <c r="AZ349" s="28" t="s">
        <v>247</v>
      </c>
      <c r="BA349" s="22" t="s">
        <v>544</v>
      </c>
      <c r="BC349" s="45">
        <f>AW349+AX349</f>
        <v>0</v>
      </c>
      <c r="BD349" s="45">
        <f>G349/(100-BE349)*100</f>
        <v>0</v>
      </c>
      <c r="BE349" s="45">
        <v>0</v>
      </c>
      <c r="BF349" s="45">
        <f>349</f>
        <v>349</v>
      </c>
      <c r="BH349" s="45">
        <f>F349*AO349</f>
        <v>0</v>
      </c>
      <c r="BI349" s="45">
        <f>F349*AP349</f>
        <v>0</v>
      </c>
      <c r="BJ349" s="45">
        <f>F349*G349</f>
        <v>0</v>
      </c>
      <c r="BK349" s="45"/>
      <c r="BL349" s="45"/>
      <c r="BW349" s="45">
        <v>21</v>
      </c>
    </row>
    <row r="350" spans="1:75" ht="15" customHeight="1">
      <c r="A350" s="49"/>
      <c r="C350" s="12" t="s">
        <v>505</v>
      </c>
      <c r="D350" s="12" t="s">
        <v>495</v>
      </c>
      <c r="F350" s="47">
        <v>988.9140900000001</v>
      </c>
      <c r="K350" s="16"/>
    </row>
    <row r="351" spans="1:75" ht="13.5" customHeight="1">
      <c r="A351" s="15" t="s">
        <v>325</v>
      </c>
      <c r="B351" s="4" t="s">
        <v>143</v>
      </c>
      <c r="C351" s="66" t="s">
        <v>12</v>
      </c>
      <c r="D351" s="63"/>
      <c r="E351" s="4" t="s">
        <v>331</v>
      </c>
      <c r="F351" s="45">
        <v>44.013500000000001</v>
      </c>
      <c r="G351" s="45">
        <v>0</v>
      </c>
      <c r="H351" s="45">
        <f>F351*AO351</f>
        <v>0</v>
      </c>
      <c r="I351" s="45">
        <f>F351*AP351</f>
        <v>0</v>
      </c>
      <c r="J351" s="45">
        <f>F351*G351</f>
        <v>0</v>
      </c>
      <c r="K351" s="43" t="s">
        <v>319</v>
      </c>
      <c r="Z351" s="45">
        <f>IF(AQ351="5",BJ351,0)</f>
        <v>0</v>
      </c>
      <c r="AB351" s="45">
        <f>IF(AQ351="1",BH351,0)</f>
        <v>0</v>
      </c>
      <c r="AC351" s="45">
        <f>IF(AQ351="1",BI351,0)</f>
        <v>0</v>
      </c>
      <c r="AD351" s="45">
        <f>IF(AQ351="7",BH351,0)</f>
        <v>0</v>
      </c>
      <c r="AE351" s="45">
        <f>IF(AQ351="7",BI351,0)</f>
        <v>0</v>
      </c>
      <c r="AF351" s="45">
        <f>IF(AQ351="2",BH351,0)</f>
        <v>0</v>
      </c>
      <c r="AG351" s="45">
        <f>IF(AQ351="2",BI351,0)</f>
        <v>0</v>
      </c>
      <c r="AH351" s="45">
        <f>IF(AQ351="0",BJ351,0)</f>
        <v>0</v>
      </c>
      <c r="AI351" s="22" t="s">
        <v>495</v>
      </c>
      <c r="AJ351" s="45">
        <f>IF(AN351=0,J351,0)</f>
        <v>0</v>
      </c>
      <c r="AK351" s="45">
        <f>IF(AN351=12,J351,0)</f>
        <v>0</v>
      </c>
      <c r="AL351" s="45">
        <f>IF(AN351=21,J351,0)</f>
        <v>0</v>
      </c>
      <c r="AN351" s="45">
        <v>21</v>
      </c>
      <c r="AO351" s="45">
        <f>G351*0</f>
        <v>0</v>
      </c>
      <c r="AP351" s="45">
        <f>G351*(1-0)</f>
        <v>0</v>
      </c>
      <c r="AQ351" s="28" t="s">
        <v>383</v>
      </c>
      <c r="AV351" s="45">
        <f>AW351+AX351</f>
        <v>0</v>
      </c>
      <c r="AW351" s="45">
        <f>F351*AO351</f>
        <v>0</v>
      </c>
      <c r="AX351" s="45">
        <f>F351*AP351</f>
        <v>0</v>
      </c>
      <c r="AY351" s="28" t="s">
        <v>288</v>
      </c>
      <c r="AZ351" s="28" t="s">
        <v>247</v>
      </c>
      <c r="BA351" s="22" t="s">
        <v>544</v>
      </c>
      <c r="BC351" s="45">
        <f>AW351+AX351</f>
        <v>0</v>
      </c>
      <c r="BD351" s="45">
        <f>G351/(100-BE351)*100</f>
        <v>0</v>
      </c>
      <c r="BE351" s="45">
        <v>0</v>
      </c>
      <c r="BF351" s="45">
        <f>351</f>
        <v>351</v>
      </c>
      <c r="BH351" s="45">
        <f>F351*AO351</f>
        <v>0</v>
      </c>
      <c r="BI351" s="45">
        <f>F351*AP351</f>
        <v>0</v>
      </c>
      <c r="BJ351" s="45">
        <f>F351*G351</f>
        <v>0</v>
      </c>
      <c r="BK351" s="45"/>
      <c r="BL351" s="45"/>
      <c r="BW351" s="45">
        <v>21</v>
      </c>
    </row>
    <row r="352" spans="1:75" ht="15" customHeight="1">
      <c r="A352" s="49"/>
      <c r="C352" s="12" t="s">
        <v>475</v>
      </c>
      <c r="D352" s="12" t="s">
        <v>495</v>
      </c>
      <c r="F352" s="47">
        <v>44.013500000000001</v>
      </c>
      <c r="K352" s="16"/>
    </row>
    <row r="353" spans="1:75" ht="13.5" customHeight="1">
      <c r="A353" s="15" t="s">
        <v>190</v>
      </c>
      <c r="B353" s="4" t="s">
        <v>225</v>
      </c>
      <c r="C353" s="66" t="s">
        <v>626</v>
      </c>
      <c r="D353" s="63"/>
      <c r="E353" s="4" t="s">
        <v>331</v>
      </c>
      <c r="F353" s="45">
        <v>1.4218</v>
      </c>
      <c r="G353" s="45">
        <v>0</v>
      </c>
      <c r="H353" s="45">
        <f>F353*AO353</f>
        <v>0</v>
      </c>
      <c r="I353" s="45">
        <f>F353*AP353</f>
        <v>0</v>
      </c>
      <c r="J353" s="45">
        <f>F353*G353</f>
        <v>0</v>
      </c>
      <c r="K353" s="43" t="s">
        <v>319</v>
      </c>
      <c r="Z353" s="45">
        <f>IF(AQ353="5",BJ353,0)</f>
        <v>0</v>
      </c>
      <c r="AB353" s="45">
        <f>IF(AQ353="1",BH353,0)</f>
        <v>0</v>
      </c>
      <c r="AC353" s="45">
        <f>IF(AQ353="1",BI353,0)</f>
        <v>0</v>
      </c>
      <c r="AD353" s="45">
        <f>IF(AQ353="7",BH353,0)</f>
        <v>0</v>
      </c>
      <c r="AE353" s="45">
        <f>IF(AQ353="7",BI353,0)</f>
        <v>0</v>
      </c>
      <c r="AF353" s="45">
        <f>IF(AQ353="2",BH353,0)</f>
        <v>0</v>
      </c>
      <c r="AG353" s="45">
        <f>IF(AQ353="2",BI353,0)</f>
        <v>0</v>
      </c>
      <c r="AH353" s="45">
        <f>IF(AQ353="0",BJ353,0)</f>
        <v>0</v>
      </c>
      <c r="AI353" s="22" t="s">
        <v>495</v>
      </c>
      <c r="AJ353" s="45">
        <f>IF(AN353=0,J353,0)</f>
        <v>0</v>
      </c>
      <c r="AK353" s="45">
        <f>IF(AN353=12,J353,0)</f>
        <v>0</v>
      </c>
      <c r="AL353" s="45">
        <f>IF(AN353=21,J353,0)</f>
        <v>0</v>
      </c>
      <c r="AN353" s="45">
        <v>21</v>
      </c>
      <c r="AO353" s="45">
        <f>G353*0</f>
        <v>0</v>
      </c>
      <c r="AP353" s="45">
        <f>G353*(1-0)</f>
        <v>0</v>
      </c>
      <c r="AQ353" s="28" t="s">
        <v>383</v>
      </c>
      <c r="AV353" s="45">
        <f>AW353+AX353</f>
        <v>0</v>
      </c>
      <c r="AW353" s="45">
        <f>F353*AO353</f>
        <v>0</v>
      </c>
      <c r="AX353" s="45">
        <f>F353*AP353</f>
        <v>0</v>
      </c>
      <c r="AY353" s="28" t="s">
        <v>288</v>
      </c>
      <c r="AZ353" s="28" t="s">
        <v>247</v>
      </c>
      <c r="BA353" s="22" t="s">
        <v>544</v>
      </c>
      <c r="BC353" s="45">
        <f>AW353+AX353</f>
        <v>0</v>
      </c>
      <c r="BD353" s="45">
        <f>G353/(100-BE353)*100</f>
        <v>0</v>
      </c>
      <c r="BE353" s="45">
        <v>0</v>
      </c>
      <c r="BF353" s="45">
        <f>353</f>
        <v>353</v>
      </c>
      <c r="BH353" s="45">
        <f>F353*AO353</f>
        <v>0</v>
      </c>
      <c r="BI353" s="45">
        <f>F353*AP353</f>
        <v>0</v>
      </c>
      <c r="BJ353" s="45">
        <f>F353*G353</f>
        <v>0</v>
      </c>
      <c r="BK353" s="45"/>
      <c r="BL353" s="45"/>
      <c r="BW353" s="45">
        <v>21</v>
      </c>
    </row>
    <row r="354" spans="1:75" ht="15" customHeight="1">
      <c r="A354" s="49"/>
      <c r="C354" s="12" t="s">
        <v>14</v>
      </c>
      <c r="D354" s="12" t="s">
        <v>495</v>
      </c>
      <c r="F354" s="47">
        <v>1.4218000000000002</v>
      </c>
      <c r="K354" s="16"/>
    </row>
    <row r="355" spans="1:75" ht="13.5" customHeight="1">
      <c r="A355" s="15" t="s">
        <v>178</v>
      </c>
      <c r="B355" s="4" t="s">
        <v>723</v>
      </c>
      <c r="C355" s="66" t="s">
        <v>91</v>
      </c>
      <c r="D355" s="63"/>
      <c r="E355" s="4" t="s">
        <v>331</v>
      </c>
      <c r="F355" s="45">
        <v>0.85224999999999995</v>
      </c>
      <c r="G355" s="45">
        <v>0</v>
      </c>
      <c r="H355" s="45">
        <f>F355*AO355</f>
        <v>0</v>
      </c>
      <c r="I355" s="45">
        <f>F355*AP355</f>
        <v>0</v>
      </c>
      <c r="J355" s="45">
        <f>F355*G355</f>
        <v>0</v>
      </c>
      <c r="K355" s="43" t="s">
        <v>319</v>
      </c>
      <c r="Z355" s="45">
        <f>IF(AQ355="5",BJ355,0)</f>
        <v>0</v>
      </c>
      <c r="AB355" s="45">
        <f>IF(AQ355="1",BH355,0)</f>
        <v>0</v>
      </c>
      <c r="AC355" s="45">
        <f>IF(AQ355="1",BI355,0)</f>
        <v>0</v>
      </c>
      <c r="AD355" s="45">
        <f>IF(AQ355="7",BH355,0)</f>
        <v>0</v>
      </c>
      <c r="AE355" s="45">
        <f>IF(AQ355="7",BI355,0)</f>
        <v>0</v>
      </c>
      <c r="AF355" s="45">
        <f>IF(AQ355="2",BH355,0)</f>
        <v>0</v>
      </c>
      <c r="AG355" s="45">
        <f>IF(AQ355="2",BI355,0)</f>
        <v>0</v>
      </c>
      <c r="AH355" s="45">
        <f>IF(AQ355="0",BJ355,0)</f>
        <v>0</v>
      </c>
      <c r="AI355" s="22" t="s">
        <v>495</v>
      </c>
      <c r="AJ355" s="45">
        <f>IF(AN355=0,J355,0)</f>
        <v>0</v>
      </c>
      <c r="AK355" s="45">
        <f>IF(AN355=12,J355,0)</f>
        <v>0</v>
      </c>
      <c r="AL355" s="45">
        <f>IF(AN355=21,J355,0)</f>
        <v>0</v>
      </c>
      <c r="AN355" s="45">
        <v>21</v>
      </c>
      <c r="AO355" s="45">
        <f>G355*0</f>
        <v>0</v>
      </c>
      <c r="AP355" s="45">
        <f>G355*(1-0)</f>
        <v>0</v>
      </c>
      <c r="AQ355" s="28" t="s">
        <v>383</v>
      </c>
      <c r="AV355" s="45">
        <f>AW355+AX355</f>
        <v>0</v>
      </c>
      <c r="AW355" s="45">
        <f>F355*AO355</f>
        <v>0</v>
      </c>
      <c r="AX355" s="45">
        <f>F355*AP355</f>
        <v>0</v>
      </c>
      <c r="AY355" s="28" t="s">
        <v>288</v>
      </c>
      <c r="AZ355" s="28" t="s">
        <v>247</v>
      </c>
      <c r="BA355" s="22" t="s">
        <v>544</v>
      </c>
      <c r="BC355" s="45">
        <f>AW355+AX355</f>
        <v>0</v>
      </c>
      <c r="BD355" s="45">
        <f>G355/(100-BE355)*100</f>
        <v>0</v>
      </c>
      <c r="BE355" s="45">
        <v>0</v>
      </c>
      <c r="BF355" s="45">
        <f>355</f>
        <v>355</v>
      </c>
      <c r="BH355" s="45">
        <f>F355*AO355</f>
        <v>0</v>
      </c>
      <c r="BI355" s="45">
        <f>F355*AP355</f>
        <v>0</v>
      </c>
      <c r="BJ355" s="45">
        <f>F355*G355</f>
        <v>0</v>
      </c>
      <c r="BK355" s="45"/>
      <c r="BL355" s="45"/>
      <c r="BW355" s="45">
        <v>21</v>
      </c>
    </row>
    <row r="356" spans="1:75" ht="15" customHeight="1">
      <c r="A356" s="49"/>
      <c r="C356" s="12" t="s">
        <v>398</v>
      </c>
      <c r="D356" s="12" t="s">
        <v>495</v>
      </c>
      <c r="F356" s="47">
        <v>0.85225000000000006</v>
      </c>
      <c r="K356" s="16"/>
    </row>
    <row r="357" spans="1:75" ht="13.5" customHeight="1">
      <c r="A357" s="15" t="s">
        <v>703</v>
      </c>
      <c r="B357" s="4" t="s">
        <v>265</v>
      </c>
      <c r="C357" s="66" t="s">
        <v>661</v>
      </c>
      <c r="D357" s="63"/>
      <c r="E357" s="4" t="s">
        <v>331</v>
      </c>
      <c r="F357" s="45">
        <v>0.73948000000000003</v>
      </c>
      <c r="G357" s="45">
        <v>0</v>
      </c>
      <c r="H357" s="45">
        <f>F357*AO357</f>
        <v>0</v>
      </c>
      <c r="I357" s="45">
        <f>F357*AP357</f>
        <v>0</v>
      </c>
      <c r="J357" s="45">
        <f>F357*G357</f>
        <v>0</v>
      </c>
      <c r="K357" s="43" t="s">
        <v>319</v>
      </c>
      <c r="Z357" s="45">
        <f>IF(AQ357="5",BJ357,0)</f>
        <v>0</v>
      </c>
      <c r="AB357" s="45">
        <f>IF(AQ357="1",BH357,0)</f>
        <v>0</v>
      </c>
      <c r="AC357" s="45">
        <f>IF(AQ357="1",BI357,0)</f>
        <v>0</v>
      </c>
      <c r="AD357" s="45">
        <f>IF(AQ357="7",BH357,0)</f>
        <v>0</v>
      </c>
      <c r="AE357" s="45">
        <f>IF(AQ357="7",BI357,0)</f>
        <v>0</v>
      </c>
      <c r="AF357" s="45">
        <f>IF(AQ357="2",BH357,0)</f>
        <v>0</v>
      </c>
      <c r="AG357" s="45">
        <f>IF(AQ357="2",BI357,0)</f>
        <v>0</v>
      </c>
      <c r="AH357" s="45">
        <f>IF(AQ357="0",BJ357,0)</f>
        <v>0</v>
      </c>
      <c r="AI357" s="22" t="s">
        <v>495</v>
      </c>
      <c r="AJ357" s="45">
        <f>IF(AN357=0,J357,0)</f>
        <v>0</v>
      </c>
      <c r="AK357" s="45">
        <f>IF(AN357=12,J357,0)</f>
        <v>0</v>
      </c>
      <c r="AL357" s="45">
        <f>IF(AN357=21,J357,0)</f>
        <v>0</v>
      </c>
      <c r="AN357" s="45">
        <v>21</v>
      </c>
      <c r="AO357" s="45">
        <f>G357*0</f>
        <v>0</v>
      </c>
      <c r="AP357" s="45">
        <f>G357*(1-0)</f>
        <v>0</v>
      </c>
      <c r="AQ357" s="28" t="s">
        <v>383</v>
      </c>
      <c r="AV357" s="45">
        <f>AW357+AX357</f>
        <v>0</v>
      </c>
      <c r="AW357" s="45">
        <f>F357*AO357</f>
        <v>0</v>
      </c>
      <c r="AX357" s="45">
        <f>F357*AP357</f>
        <v>0</v>
      </c>
      <c r="AY357" s="28" t="s">
        <v>288</v>
      </c>
      <c r="AZ357" s="28" t="s">
        <v>247</v>
      </c>
      <c r="BA357" s="22" t="s">
        <v>544</v>
      </c>
      <c r="BC357" s="45">
        <f>AW357+AX357</f>
        <v>0</v>
      </c>
      <c r="BD357" s="45">
        <f>G357/(100-BE357)*100</f>
        <v>0</v>
      </c>
      <c r="BE357" s="45">
        <v>0</v>
      </c>
      <c r="BF357" s="45">
        <f>357</f>
        <v>357</v>
      </c>
      <c r="BH357" s="45">
        <f>F357*AO357</f>
        <v>0</v>
      </c>
      <c r="BI357" s="45">
        <f>F357*AP357</f>
        <v>0</v>
      </c>
      <c r="BJ357" s="45">
        <f>F357*G357</f>
        <v>0</v>
      </c>
      <c r="BK357" s="45"/>
      <c r="BL357" s="45"/>
      <c r="BW357" s="45">
        <v>21</v>
      </c>
    </row>
    <row r="358" spans="1:75" ht="15" customHeight="1">
      <c r="A358" s="49"/>
      <c r="C358" s="12" t="s">
        <v>232</v>
      </c>
      <c r="D358" s="12" t="s">
        <v>495</v>
      </c>
      <c r="F358" s="47">
        <v>0.73948000000000003</v>
      </c>
      <c r="K358" s="16"/>
    </row>
    <row r="359" spans="1:75" ht="13.5" customHeight="1">
      <c r="A359" s="15" t="s">
        <v>255</v>
      </c>
      <c r="B359" s="4" t="s">
        <v>397</v>
      </c>
      <c r="C359" s="66" t="s">
        <v>261</v>
      </c>
      <c r="D359" s="63"/>
      <c r="E359" s="4" t="s">
        <v>331</v>
      </c>
      <c r="F359" s="45">
        <v>1.8597399999999999</v>
      </c>
      <c r="G359" s="45">
        <v>0</v>
      </c>
      <c r="H359" s="45">
        <f>F359*AO359</f>
        <v>0</v>
      </c>
      <c r="I359" s="45">
        <f>F359*AP359</f>
        <v>0</v>
      </c>
      <c r="J359" s="45">
        <f>F359*G359</f>
        <v>0</v>
      </c>
      <c r="K359" s="43" t="s">
        <v>319</v>
      </c>
      <c r="Z359" s="45">
        <f>IF(AQ359="5",BJ359,0)</f>
        <v>0</v>
      </c>
      <c r="AB359" s="45">
        <f>IF(AQ359="1",BH359,0)</f>
        <v>0</v>
      </c>
      <c r="AC359" s="45">
        <f>IF(AQ359="1",BI359,0)</f>
        <v>0</v>
      </c>
      <c r="AD359" s="45">
        <f>IF(AQ359="7",BH359,0)</f>
        <v>0</v>
      </c>
      <c r="AE359" s="45">
        <f>IF(AQ359="7",BI359,0)</f>
        <v>0</v>
      </c>
      <c r="AF359" s="45">
        <f>IF(AQ359="2",BH359,0)</f>
        <v>0</v>
      </c>
      <c r="AG359" s="45">
        <f>IF(AQ359="2",BI359,0)</f>
        <v>0</v>
      </c>
      <c r="AH359" s="45">
        <f>IF(AQ359="0",BJ359,0)</f>
        <v>0</v>
      </c>
      <c r="AI359" s="22" t="s">
        <v>495</v>
      </c>
      <c r="AJ359" s="45">
        <f>IF(AN359=0,J359,0)</f>
        <v>0</v>
      </c>
      <c r="AK359" s="45">
        <f>IF(AN359=12,J359,0)</f>
        <v>0</v>
      </c>
      <c r="AL359" s="45">
        <f>IF(AN359=21,J359,0)</f>
        <v>0</v>
      </c>
      <c r="AN359" s="45">
        <v>21</v>
      </c>
      <c r="AO359" s="45">
        <f>G359*0</f>
        <v>0</v>
      </c>
      <c r="AP359" s="45">
        <f>G359*(1-0)</f>
        <v>0</v>
      </c>
      <c r="AQ359" s="28" t="s">
        <v>383</v>
      </c>
      <c r="AV359" s="45">
        <f>AW359+AX359</f>
        <v>0</v>
      </c>
      <c r="AW359" s="45">
        <f>F359*AO359</f>
        <v>0</v>
      </c>
      <c r="AX359" s="45">
        <f>F359*AP359</f>
        <v>0</v>
      </c>
      <c r="AY359" s="28" t="s">
        <v>288</v>
      </c>
      <c r="AZ359" s="28" t="s">
        <v>247</v>
      </c>
      <c r="BA359" s="22" t="s">
        <v>544</v>
      </c>
      <c r="BC359" s="45">
        <f>AW359+AX359</f>
        <v>0</v>
      </c>
      <c r="BD359" s="45">
        <f>G359/(100-BE359)*100</f>
        <v>0</v>
      </c>
      <c r="BE359" s="45">
        <v>0</v>
      </c>
      <c r="BF359" s="45">
        <f>359</f>
        <v>359</v>
      </c>
      <c r="BH359" s="45">
        <f>F359*AO359</f>
        <v>0</v>
      </c>
      <c r="BI359" s="45">
        <f>F359*AP359</f>
        <v>0</v>
      </c>
      <c r="BJ359" s="45">
        <f>F359*G359</f>
        <v>0</v>
      </c>
      <c r="BK359" s="45"/>
      <c r="BL359" s="45"/>
      <c r="BW359" s="45">
        <v>21</v>
      </c>
    </row>
    <row r="360" spans="1:75" ht="15" customHeight="1">
      <c r="A360" s="49"/>
      <c r="C360" s="12" t="s">
        <v>72</v>
      </c>
      <c r="D360" s="12" t="s">
        <v>495</v>
      </c>
      <c r="F360" s="47">
        <v>1.8597400000000002</v>
      </c>
      <c r="K360" s="16"/>
    </row>
    <row r="361" spans="1:75" ht="13.5" customHeight="1">
      <c r="A361" s="15" t="s">
        <v>183</v>
      </c>
      <c r="B361" s="4" t="s">
        <v>538</v>
      </c>
      <c r="C361" s="66" t="s">
        <v>642</v>
      </c>
      <c r="D361" s="63"/>
      <c r="E361" s="4" t="s">
        <v>331</v>
      </c>
      <c r="F361" s="45">
        <v>0.17165</v>
      </c>
      <c r="G361" s="45">
        <v>0</v>
      </c>
      <c r="H361" s="45">
        <f>F361*AO361</f>
        <v>0</v>
      </c>
      <c r="I361" s="45">
        <f>F361*AP361</f>
        <v>0</v>
      </c>
      <c r="J361" s="45">
        <f>F361*G361</f>
        <v>0</v>
      </c>
      <c r="K361" s="43" t="s">
        <v>319</v>
      </c>
      <c r="Z361" s="45">
        <f>IF(AQ361="5",BJ361,0)</f>
        <v>0</v>
      </c>
      <c r="AB361" s="45">
        <f>IF(AQ361="1",BH361,0)</f>
        <v>0</v>
      </c>
      <c r="AC361" s="45">
        <f>IF(AQ361="1",BI361,0)</f>
        <v>0</v>
      </c>
      <c r="AD361" s="45">
        <f>IF(AQ361="7",BH361,0)</f>
        <v>0</v>
      </c>
      <c r="AE361" s="45">
        <f>IF(AQ361="7",BI361,0)</f>
        <v>0</v>
      </c>
      <c r="AF361" s="45">
        <f>IF(AQ361="2",BH361,0)</f>
        <v>0</v>
      </c>
      <c r="AG361" s="45">
        <f>IF(AQ361="2",BI361,0)</f>
        <v>0</v>
      </c>
      <c r="AH361" s="45">
        <f>IF(AQ361="0",BJ361,0)</f>
        <v>0</v>
      </c>
      <c r="AI361" s="22" t="s">
        <v>495</v>
      </c>
      <c r="AJ361" s="45">
        <f>IF(AN361=0,J361,0)</f>
        <v>0</v>
      </c>
      <c r="AK361" s="45">
        <f>IF(AN361=12,J361,0)</f>
        <v>0</v>
      </c>
      <c r="AL361" s="45">
        <f>IF(AN361=21,J361,0)</f>
        <v>0</v>
      </c>
      <c r="AN361" s="45">
        <v>21</v>
      </c>
      <c r="AO361" s="45">
        <f>G361*0</f>
        <v>0</v>
      </c>
      <c r="AP361" s="45">
        <f>G361*(1-0)</f>
        <v>0</v>
      </c>
      <c r="AQ361" s="28" t="s">
        <v>383</v>
      </c>
      <c r="AV361" s="45">
        <f>AW361+AX361</f>
        <v>0</v>
      </c>
      <c r="AW361" s="45">
        <f>F361*AO361</f>
        <v>0</v>
      </c>
      <c r="AX361" s="45">
        <f>F361*AP361</f>
        <v>0</v>
      </c>
      <c r="AY361" s="28" t="s">
        <v>288</v>
      </c>
      <c r="AZ361" s="28" t="s">
        <v>247</v>
      </c>
      <c r="BA361" s="22" t="s">
        <v>544</v>
      </c>
      <c r="BC361" s="45">
        <f>AW361+AX361</f>
        <v>0</v>
      </c>
      <c r="BD361" s="45">
        <f>G361/(100-BE361)*100</f>
        <v>0</v>
      </c>
      <c r="BE361" s="45">
        <v>0</v>
      </c>
      <c r="BF361" s="45">
        <f>361</f>
        <v>361</v>
      </c>
      <c r="BH361" s="45">
        <f>F361*AO361</f>
        <v>0</v>
      </c>
      <c r="BI361" s="45">
        <f>F361*AP361</f>
        <v>0</v>
      </c>
      <c r="BJ361" s="45">
        <f>F361*G361</f>
        <v>0</v>
      </c>
      <c r="BK361" s="45"/>
      <c r="BL361" s="45"/>
      <c r="BW361" s="45">
        <v>21</v>
      </c>
    </row>
    <row r="362" spans="1:75" ht="15" customHeight="1">
      <c r="A362" s="49"/>
      <c r="C362" s="12" t="s">
        <v>465</v>
      </c>
      <c r="D362" s="12" t="s">
        <v>495</v>
      </c>
      <c r="F362" s="47">
        <v>0.17165000000000002</v>
      </c>
      <c r="K362" s="16"/>
    </row>
    <row r="363" spans="1:75" ht="13.5" customHeight="1">
      <c r="A363" s="15" t="s">
        <v>532</v>
      </c>
      <c r="B363" s="4" t="s">
        <v>43</v>
      </c>
      <c r="C363" s="66" t="s">
        <v>379</v>
      </c>
      <c r="D363" s="63"/>
      <c r="E363" s="4" t="s">
        <v>331</v>
      </c>
      <c r="F363" s="45">
        <v>6.7000000000000004E-2</v>
      </c>
      <c r="G363" s="45">
        <v>0</v>
      </c>
      <c r="H363" s="45">
        <f>F363*AO363</f>
        <v>0</v>
      </c>
      <c r="I363" s="45">
        <f>F363*AP363</f>
        <v>0</v>
      </c>
      <c r="J363" s="45">
        <f>F363*G363</f>
        <v>0</v>
      </c>
      <c r="K363" s="43" t="s">
        <v>319</v>
      </c>
      <c r="Z363" s="45">
        <f>IF(AQ363="5",BJ363,0)</f>
        <v>0</v>
      </c>
      <c r="AB363" s="45">
        <f>IF(AQ363="1",BH363,0)</f>
        <v>0</v>
      </c>
      <c r="AC363" s="45">
        <f>IF(AQ363="1",BI363,0)</f>
        <v>0</v>
      </c>
      <c r="AD363" s="45">
        <f>IF(AQ363="7",BH363,0)</f>
        <v>0</v>
      </c>
      <c r="AE363" s="45">
        <f>IF(AQ363="7",BI363,0)</f>
        <v>0</v>
      </c>
      <c r="AF363" s="45">
        <f>IF(AQ363="2",BH363,0)</f>
        <v>0</v>
      </c>
      <c r="AG363" s="45">
        <f>IF(AQ363="2",BI363,0)</f>
        <v>0</v>
      </c>
      <c r="AH363" s="45">
        <f>IF(AQ363="0",BJ363,0)</f>
        <v>0</v>
      </c>
      <c r="AI363" s="22" t="s">
        <v>495</v>
      </c>
      <c r="AJ363" s="45">
        <f>IF(AN363=0,J363,0)</f>
        <v>0</v>
      </c>
      <c r="AK363" s="45">
        <f>IF(AN363=12,J363,0)</f>
        <v>0</v>
      </c>
      <c r="AL363" s="45">
        <f>IF(AN363=21,J363,0)</f>
        <v>0</v>
      </c>
      <c r="AN363" s="45">
        <v>21</v>
      </c>
      <c r="AO363" s="45">
        <f>G363*0</f>
        <v>0</v>
      </c>
      <c r="AP363" s="45">
        <f>G363*(1-0)</f>
        <v>0</v>
      </c>
      <c r="AQ363" s="28" t="s">
        <v>383</v>
      </c>
      <c r="AV363" s="45">
        <f>AW363+AX363</f>
        <v>0</v>
      </c>
      <c r="AW363" s="45">
        <f>F363*AO363</f>
        <v>0</v>
      </c>
      <c r="AX363" s="45">
        <f>F363*AP363</f>
        <v>0</v>
      </c>
      <c r="AY363" s="28" t="s">
        <v>288</v>
      </c>
      <c r="AZ363" s="28" t="s">
        <v>247</v>
      </c>
      <c r="BA363" s="22" t="s">
        <v>544</v>
      </c>
      <c r="BC363" s="45">
        <f>AW363+AX363</f>
        <v>0</v>
      </c>
      <c r="BD363" s="45">
        <f>G363/(100-BE363)*100</f>
        <v>0</v>
      </c>
      <c r="BE363" s="45">
        <v>0</v>
      </c>
      <c r="BF363" s="45">
        <f>363</f>
        <v>363</v>
      </c>
      <c r="BH363" s="45">
        <f>F363*AO363</f>
        <v>0</v>
      </c>
      <c r="BI363" s="45">
        <f>F363*AP363</f>
        <v>0</v>
      </c>
      <c r="BJ363" s="45">
        <f>F363*G363</f>
        <v>0</v>
      </c>
      <c r="BK363" s="45"/>
      <c r="BL363" s="45"/>
      <c r="BW363" s="45">
        <v>21</v>
      </c>
    </row>
    <row r="364" spans="1:75" ht="15" customHeight="1">
      <c r="A364" s="49"/>
      <c r="C364" s="12" t="s">
        <v>51</v>
      </c>
      <c r="D364" s="12" t="s">
        <v>495</v>
      </c>
      <c r="F364" s="47">
        <v>6.7000000000000004E-2</v>
      </c>
      <c r="K364" s="16"/>
    </row>
    <row r="365" spans="1:75" ht="13.5" customHeight="1">
      <c r="A365" s="15" t="s">
        <v>83</v>
      </c>
      <c r="B365" s="4" t="s">
        <v>429</v>
      </c>
      <c r="C365" s="66" t="s">
        <v>612</v>
      </c>
      <c r="D365" s="63"/>
      <c r="E365" s="4" t="s">
        <v>331</v>
      </c>
      <c r="F365" s="45">
        <v>8.4519999999999998E-2</v>
      </c>
      <c r="G365" s="45">
        <v>0</v>
      </c>
      <c r="H365" s="45">
        <f>F365*AO365</f>
        <v>0</v>
      </c>
      <c r="I365" s="45">
        <f>F365*AP365</f>
        <v>0</v>
      </c>
      <c r="J365" s="45">
        <f>F365*G365</f>
        <v>0</v>
      </c>
      <c r="K365" s="43" t="s">
        <v>319</v>
      </c>
      <c r="Z365" s="45">
        <f>IF(AQ365="5",BJ365,0)</f>
        <v>0</v>
      </c>
      <c r="AB365" s="45">
        <f>IF(AQ365="1",BH365,0)</f>
        <v>0</v>
      </c>
      <c r="AC365" s="45">
        <f>IF(AQ365="1",BI365,0)</f>
        <v>0</v>
      </c>
      <c r="AD365" s="45">
        <f>IF(AQ365="7",BH365,0)</f>
        <v>0</v>
      </c>
      <c r="AE365" s="45">
        <f>IF(AQ365="7",BI365,0)</f>
        <v>0</v>
      </c>
      <c r="AF365" s="45">
        <f>IF(AQ365="2",BH365,0)</f>
        <v>0</v>
      </c>
      <c r="AG365" s="45">
        <f>IF(AQ365="2",BI365,0)</f>
        <v>0</v>
      </c>
      <c r="AH365" s="45">
        <f>IF(AQ365="0",BJ365,0)</f>
        <v>0</v>
      </c>
      <c r="AI365" s="22" t="s">
        <v>495</v>
      </c>
      <c r="AJ365" s="45">
        <f>IF(AN365=0,J365,0)</f>
        <v>0</v>
      </c>
      <c r="AK365" s="45">
        <f>IF(AN365=12,J365,0)</f>
        <v>0</v>
      </c>
      <c r="AL365" s="45">
        <f>IF(AN365=21,J365,0)</f>
        <v>0</v>
      </c>
      <c r="AN365" s="45">
        <v>21</v>
      </c>
      <c r="AO365" s="45">
        <f>G365*0</f>
        <v>0</v>
      </c>
      <c r="AP365" s="45">
        <f>G365*(1-0)</f>
        <v>0</v>
      </c>
      <c r="AQ365" s="28" t="s">
        <v>383</v>
      </c>
      <c r="AV365" s="45">
        <f>AW365+AX365</f>
        <v>0</v>
      </c>
      <c r="AW365" s="45">
        <f>F365*AO365</f>
        <v>0</v>
      </c>
      <c r="AX365" s="45">
        <f>F365*AP365</f>
        <v>0</v>
      </c>
      <c r="AY365" s="28" t="s">
        <v>288</v>
      </c>
      <c r="AZ365" s="28" t="s">
        <v>247</v>
      </c>
      <c r="BA365" s="22" t="s">
        <v>544</v>
      </c>
      <c r="BC365" s="45">
        <f>AW365+AX365</f>
        <v>0</v>
      </c>
      <c r="BD365" s="45">
        <f>G365/(100-BE365)*100</f>
        <v>0</v>
      </c>
      <c r="BE365" s="45">
        <v>0</v>
      </c>
      <c r="BF365" s="45">
        <f>365</f>
        <v>365</v>
      </c>
      <c r="BH365" s="45">
        <f>F365*AO365</f>
        <v>0</v>
      </c>
      <c r="BI365" s="45">
        <f>F365*AP365</f>
        <v>0</v>
      </c>
      <c r="BJ365" s="45">
        <f>F365*G365</f>
        <v>0</v>
      </c>
      <c r="BK365" s="45"/>
      <c r="BL365" s="45"/>
      <c r="BW365" s="45">
        <v>21</v>
      </c>
    </row>
    <row r="366" spans="1:75" ht="15" customHeight="1">
      <c r="A366" s="49"/>
      <c r="C366" s="12" t="s">
        <v>564</v>
      </c>
      <c r="D366" s="12" t="s">
        <v>495</v>
      </c>
      <c r="F366" s="47">
        <v>8.4520000000000012E-2</v>
      </c>
      <c r="K366" s="16"/>
    </row>
    <row r="367" spans="1:75" ht="13.5" customHeight="1">
      <c r="A367" s="15" t="s">
        <v>655</v>
      </c>
      <c r="B367" s="4" t="s">
        <v>154</v>
      </c>
      <c r="C367" s="66" t="s">
        <v>697</v>
      </c>
      <c r="D367" s="63"/>
      <c r="E367" s="4" t="s">
        <v>331</v>
      </c>
      <c r="F367" s="45">
        <v>2.63733</v>
      </c>
      <c r="G367" s="45">
        <v>0</v>
      </c>
      <c r="H367" s="45">
        <f>F367*AO367</f>
        <v>0</v>
      </c>
      <c r="I367" s="45">
        <f>F367*AP367</f>
        <v>0</v>
      </c>
      <c r="J367" s="45">
        <f>F367*G367</f>
        <v>0</v>
      </c>
      <c r="K367" s="43" t="s">
        <v>319</v>
      </c>
      <c r="Z367" s="45">
        <f>IF(AQ367="5",BJ367,0)</f>
        <v>0</v>
      </c>
      <c r="AB367" s="45">
        <f>IF(AQ367="1",BH367,0)</f>
        <v>0</v>
      </c>
      <c r="AC367" s="45">
        <f>IF(AQ367="1",BI367,0)</f>
        <v>0</v>
      </c>
      <c r="AD367" s="45">
        <f>IF(AQ367="7",BH367,0)</f>
        <v>0</v>
      </c>
      <c r="AE367" s="45">
        <f>IF(AQ367="7",BI367,0)</f>
        <v>0</v>
      </c>
      <c r="AF367" s="45">
        <f>IF(AQ367="2",BH367,0)</f>
        <v>0</v>
      </c>
      <c r="AG367" s="45">
        <f>IF(AQ367="2",BI367,0)</f>
        <v>0</v>
      </c>
      <c r="AH367" s="45">
        <f>IF(AQ367="0",BJ367,0)</f>
        <v>0</v>
      </c>
      <c r="AI367" s="22" t="s">
        <v>495</v>
      </c>
      <c r="AJ367" s="45">
        <f>IF(AN367=0,J367,0)</f>
        <v>0</v>
      </c>
      <c r="AK367" s="45">
        <f>IF(AN367=12,J367,0)</f>
        <v>0</v>
      </c>
      <c r="AL367" s="45">
        <f>IF(AN367=21,J367,0)</f>
        <v>0</v>
      </c>
      <c r="AN367" s="45">
        <v>21</v>
      </c>
      <c r="AO367" s="45">
        <f>G367*0</f>
        <v>0</v>
      </c>
      <c r="AP367" s="45">
        <f>G367*(1-0)</f>
        <v>0</v>
      </c>
      <c r="AQ367" s="28" t="s">
        <v>383</v>
      </c>
      <c r="AV367" s="45">
        <f>AW367+AX367</f>
        <v>0</v>
      </c>
      <c r="AW367" s="45">
        <f>F367*AO367</f>
        <v>0</v>
      </c>
      <c r="AX367" s="45">
        <f>F367*AP367</f>
        <v>0</v>
      </c>
      <c r="AY367" s="28" t="s">
        <v>288</v>
      </c>
      <c r="AZ367" s="28" t="s">
        <v>247</v>
      </c>
      <c r="BA367" s="22" t="s">
        <v>544</v>
      </c>
      <c r="BC367" s="45">
        <f>AW367+AX367</f>
        <v>0</v>
      </c>
      <c r="BD367" s="45">
        <f>G367/(100-BE367)*100</f>
        <v>0</v>
      </c>
      <c r="BE367" s="45">
        <v>0</v>
      </c>
      <c r="BF367" s="45">
        <f>367</f>
        <v>367</v>
      </c>
      <c r="BH367" s="45">
        <f>F367*AO367</f>
        <v>0</v>
      </c>
      <c r="BI367" s="45">
        <f>F367*AP367</f>
        <v>0</v>
      </c>
      <c r="BJ367" s="45">
        <f>F367*G367</f>
        <v>0</v>
      </c>
      <c r="BK367" s="45"/>
      <c r="BL367" s="45"/>
      <c r="BW367" s="45">
        <v>21</v>
      </c>
    </row>
    <row r="368" spans="1:75" ht="15" customHeight="1">
      <c r="A368" s="49"/>
      <c r="C368" s="12" t="s">
        <v>605</v>
      </c>
      <c r="D368" s="12" t="s">
        <v>495</v>
      </c>
      <c r="F368" s="47">
        <v>2.6373300000000004</v>
      </c>
      <c r="K368" s="16"/>
    </row>
    <row r="369" spans="1:75" ht="15" customHeight="1">
      <c r="A369" s="42" t="s">
        <v>495</v>
      </c>
      <c r="B369" s="39" t="s">
        <v>142</v>
      </c>
      <c r="C369" s="79" t="s">
        <v>356</v>
      </c>
      <c r="D369" s="80"/>
      <c r="E369" s="27" t="s">
        <v>653</v>
      </c>
      <c r="F369" s="27" t="s">
        <v>653</v>
      </c>
      <c r="G369" s="27" t="s">
        <v>653</v>
      </c>
      <c r="H369" s="11">
        <f>SUM(H370:H371)</f>
        <v>0</v>
      </c>
      <c r="I369" s="11">
        <f>SUM(I370:I371)</f>
        <v>0</v>
      </c>
      <c r="J369" s="11">
        <f>SUM(J370:J371)</f>
        <v>0</v>
      </c>
      <c r="K369" s="50" t="s">
        <v>495</v>
      </c>
      <c r="AI369" s="22" t="s">
        <v>495</v>
      </c>
      <c r="AS369" s="11">
        <f>SUM(AJ370:AJ371)</f>
        <v>0</v>
      </c>
      <c r="AT369" s="11">
        <f>SUM(AK370:AK371)</f>
        <v>0</v>
      </c>
      <c r="AU369" s="11">
        <f>SUM(AL370:AL371)</f>
        <v>0</v>
      </c>
    </row>
    <row r="370" spans="1:75" ht="13.5" customHeight="1">
      <c r="A370" s="15" t="s">
        <v>164</v>
      </c>
      <c r="B370" s="4" t="s">
        <v>374</v>
      </c>
      <c r="C370" s="66" t="s">
        <v>56</v>
      </c>
      <c r="D370" s="63"/>
      <c r="E370" s="4" t="s">
        <v>625</v>
      </c>
      <c r="F370" s="45">
        <v>3.25</v>
      </c>
      <c r="G370" s="45">
        <v>0</v>
      </c>
      <c r="H370" s="45">
        <f>F370*AO370</f>
        <v>0</v>
      </c>
      <c r="I370" s="45">
        <f>F370*AP370</f>
        <v>0</v>
      </c>
      <c r="J370" s="45">
        <f>F370*G370</f>
        <v>0</v>
      </c>
      <c r="K370" s="43" t="s">
        <v>495</v>
      </c>
      <c r="Z370" s="45">
        <f>IF(AQ370="5",BJ370,0)</f>
        <v>0</v>
      </c>
      <c r="AB370" s="45">
        <f>IF(AQ370="1",BH370,0)</f>
        <v>0</v>
      </c>
      <c r="AC370" s="45">
        <f>IF(AQ370="1",BI370,0)</f>
        <v>0</v>
      </c>
      <c r="AD370" s="45">
        <f>IF(AQ370="7",BH370,0)</f>
        <v>0</v>
      </c>
      <c r="AE370" s="45">
        <f>IF(AQ370="7",BI370,0)</f>
        <v>0</v>
      </c>
      <c r="AF370" s="45">
        <f>IF(AQ370="2",BH370,0)</f>
        <v>0</v>
      </c>
      <c r="AG370" s="45">
        <f>IF(AQ370="2",BI370,0)</f>
        <v>0</v>
      </c>
      <c r="AH370" s="45">
        <f>IF(AQ370="0",BJ370,0)</f>
        <v>0</v>
      </c>
      <c r="AI370" s="22" t="s">
        <v>495</v>
      </c>
      <c r="AJ370" s="45">
        <f>IF(AN370=0,J370,0)</f>
        <v>0</v>
      </c>
      <c r="AK370" s="45">
        <f>IF(AN370=12,J370,0)</f>
        <v>0</v>
      </c>
      <c r="AL370" s="45">
        <f>IF(AN370=21,J370,0)</f>
        <v>0</v>
      </c>
      <c r="AN370" s="45">
        <v>21</v>
      </c>
      <c r="AO370" s="45">
        <f>G370*0</f>
        <v>0</v>
      </c>
      <c r="AP370" s="45">
        <f>G370*(1-0)</f>
        <v>0</v>
      </c>
      <c r="AQ370" s="28" t="s">
        <v>692</v>
      </c>
      <c r="AV370" s="45">
        <f>AW370+AX370</f>
        <v>0</v>
      </c>
      <c r="AW370" s="45">
        <f>F370*AO370</f>
        <v>0</v>
      </c>
      <c r="AX370" s="45">
        <f>F370*AP370</f>
        <v>0</v>
      </c>
      <c r="AY370" s="28" t="s">
        <v>105</v>
      </c>
      <c r="AZ370" s="28" t="s">
        <v>632</v>
      </c>
      <c r="BA370" s="22" t="s">
        <v>544</v>
      </c>
      <c r="BC370" s="45">
        <f>AW370+AX370</f>
        <v>0</v>
      </c>
      <c r="BD370" s="45">
        <f>G370/(100-BE370)*100</f>
        <v>0</v>
      </c>
      <c r="BE370" s="45">
        <v>0</v>
      </c>
      <c r="BF370" s="45">
        <f>370</f>
        <v>370</v>
      </c>
      <c r="BH370" s="45">
        <f>F370*AO370</f>
        <v>0</v>
      </c>
      <c r="BI370" s="45">
        <f>F370*AP370</f>
        <v>0</v>
      </c>
      <c r="BJ370" s="45">
        <f>F370*G370</f>
        <v>0</v>
      </c>
      <c r="BK370" s="45"/>
      <c r="BL370" s="45"/>
      <c r="BW370" s="45">
        <v>21</v>
      </c>
    </row>
    <row r="371" spans="1:75" ht="13.5" customHeight="1">
      <c r="A371" s="24" t="s">
        <v>101</v>
      </c>
      <c r="B371" s="37" t="s">
        <v>307</v>
      </c>
      <c r="C371" s="81" t="s">
        <v>382</v>
      </c>
      <c r="D371" s="82"/>
      <c r="E371" s="37" t="s">
        <v>625</v>
      </c>
      <c r="F371" s="54">
        <v>1.6</v>
      </c>
      <c r="G371" s="54">
        <v>0</v>
      </c>
      <c r="H371" s="54">
        <f>F371*AO371</f>
        <v>0</v>
      </c>
      <c r="I371" s="54">
        <f>F371*AP371</f>
        <v>0</v>
      </c>
      <c r="J371" s="54">
        <f>F371*G371</f>
        <v>0</v>
      </c>
      <c r="K371" s="26" t="s">
        <v>495</v>
      </c>
      <c r="Z371" s="45">
        <f>IF(AQ371="5",BJ371,0)</f>
        <v>0</v>
      </c>
      <c r="AB371" s="45">
        <f>IF(AQ371="1",BH371,0)</f>
        <v>0</v>
      </c>
      <c r="AC371" s="45">
        <f>IF(AQ371="1",BI371,0)</f>
        <v>0</v>
      </c>
      <c r="AD371" s="45">
        <f>IF(AQ371="7",BH371,0)</f>
        <v>0</v>
      </c>
      <c r="AE371" s="45">
        <f>IF(AQ371="7",BI371,0)</f>
        <v>0</v>
      </c>
      <c r="AF371" s="45">
        <f>IF(AQ371="2",BH371,0)</f>
        <v>0</v>
      </c>
      <c r="AG371" s="45">
        <f>IF(AQ371="2",BI371,0)</f>
        <v>0</v>
      </c>
      <c r="AH371" s="45">
        <f>IF(AQ371="0",BJ371,0)</f>
        <v>0</v>
      </c>
      <c r="AI371" s="22" t="s">
        <v>495</v>
      </c>
      <c r="AJ371" s="45">
        <f>IF(AN371=0,J371,0)</f>
        <v>0</v>
      </c>
      <c r="AK371" s="45">
        <f>IF(AN371=12,J371,0)</f>
        <v>0</v>
      </c>
      <c r="AL371" s="45">
        <f>IF(AN371=21,J371,0)</f>
        <v>0</v>
      </c>
      <c r="AN371" s="45">
        <v>21</v>
      </c>
      <c r="AO371" s="45">
        <f>G371*0</f>
        <v>0</v>
      </c>
      <c r="AP371" s="45">
        <f>G371*(1-0)</f>
        <v>0</v>
      </c>
      <c r="AQ371" s="28" t="s">
        <v>692</v>
      </c>
      <c r="AV371" s="45">
        <f>AW371+AX371</f>
        <v>0</v>
      </c>
      <c r="AW371" s="45">
        <f>F371*AO371</f>
        <v>0</v>
      </c>
      <c r="AX371" s="45">
        <f>F371*AP371</f>
        <v>0</v>
      </c>
      <c r="AY371" s="28" t="s">
        <v>105</v>
      </c>
      <c r="AZ371" s="28" t="s">
        <v>632</v>
      </c>
      <c r="BA371" s="22" t="s">
        <v>544</v>
      </c>
      <c r="BC371" s="45">
        <f>AW371+AX371</f>
        <v>0</v>
      </c>
      <c r="BD371" s="45">
        <f>G371/(100-BE371)*100</f>
        <v>0</v>
      </c>
      <c r="BE371" s="45">
        <v>0</v>
      </c>
      <c r="BF371" s="45">
        <f>371</f>
        <v>371</v>
      </c>
      <c r="BH371" s="45">
        <f>F371*AO371</f>
        <v>0</v>
      </c>
      <c r="BI371" s="45">
        <f>F371*AP371</f>
        <v>0</v>
      </c>
      <c r="BJ371" s="45">
        <f>F371*G371</f>
        <v>0</v>
      </c>
      <c r="BK371" s="45"/>
      <c r="BL371" s="45"/>
      <c r="BW371" s="45">
        <v>21</v>
      </c>
    </row>
    <row r="372" spans="1:75" ht="15" customHeight="1">
      <c r="H372" s="69" t="s">
        <v>559</v>
      </c>
      <c r="I372" s="69"/>
      <c r="J372" s="36">
        <f>J12+J17+J22+J30+J37+J40+J49+J52+J112+J117+J122+J127+J143+J152+J155+J160+J172+J225+J251+J256+J261+J266+J269+J272+J277+J298+J305+J329+J336+J339+J342+J369</f>
        <v>0</v>
      </c>
    </row>
    <row r="373" spans="1:75" ht="15" customHeight="1">
      <c r="A373" s="10" t="s">
        <v>42</v>
      </c>
    </row>
    <row r="374" spans="1:75" ht="12.75" customHeight="1">
      <c r="A374" s="66" t="s">
        <v>495</v>
      </c>
      <c r="B374" s="63"/>
      <c r="C374" s="63"/>
      <c r="D374" s="63"/>
      <c r="E374" s="63"/>
      <c r="F374" s="63"/>
      <c r="G374" s="63"/>
      <c r="H374" s="63"/>
      <c r="I374" s="63"/>
      <c r="J374" s="63"/>
      <c r="K374" s="63"/>
    </row>
  </sheetData>
  <mergeCells count="200">
    <mergeCell ref="C367:D367"/>
    <mergeCell ref="C369:D369"/>
    <mergeCell ref="C370:D370"/>
    <mergeCell ref="C371:D371"/>
    <mergeCell ref="H372:I372"/>
    <mergeCell ref="A374:K374"/>
    <mergeCell ref="C355:D355"/>
    <mergeCell ref="C357:D357"/>
    <mergeCell ref="C359:D359"/>
    <mergeCell ref="C361:D361"/>
    <mergeCell ref="C363:D363"/>
    <mergeCell ref="C365:D365"/>
    <mergeCell ref="C343:D343"/>
    <mergeCell ref="C345:D345"/>
    <mergeCell ref="C347:D347"/>
    <mergeCell ref="C349:D349"/>
    <mergeCell ref="C351:D351"/>
    <mergeCell ref="C353:D353"/>
    <mergeCell ref="C334:D334"/>
    <mergeCell ref="C336:D336"/>
    <mergeCell ref="C337:D337"/>
    <mergeCell ref="C339:D339"/>
    <mergeCell ref="C340:D340"/>
    <mergeCell ref="C342:D342"/>
    <mergeCell ref="C323:D323"/>
    <mergeCell ref="C325:D325"/>
    <mergeCell ref="C327:D327"/>
    <mergeCell ref="C329:D329"/>
    <mergeCell ref="C330:D330"/>
    <mergeCell ref="C332:D332"/>
    <mergeCell ref="C306:D306"/>
    <mergeCell ref="C308:D308"/>
    <mergeCell ref="C312:D312"/>
    <mergeCell ref="C314:D314"/>
    <mergeCell ref="C318:D318"/>
    <mergeCell ref="C321:D321"/>
    <mergeCell ref="C297:D297"/>
    <mergeCell ref="C298:D298"/>
    <mergeCell ref="C299:D299"/>
    <mergeCell ref="C301:D301"/>
    <mergeCell ref="C303:D303"/>
    <mergeCell ref="C305:D305"/>
    <mergeCell ref="C285:D285"/>
    <mergeCell ref="C287:D287"/>
    <mergeCell ref="C289:D289"/>
    <mergeCell ref="C291:D291"/>
    <mergeCell ref="C293:D293"/>
    <mergeCell ref="C295:D295"/>
    <mergeCell ref="C270:D270"/>
    <mergeCell ref="C272:D272"/>
    <mergeCell ref="C273:D273"/>
    <mergeCell ref="C275:D275"/>
    <mergeCell ref="C277:D277"/>
    <mergeCell ref="C278:D278"/>
    <mergeCell ref="C261:D261"/>
    <mergeCell ref="C262:D262"/>
    <mergeCell ref="C264:D264"/>
    <mergeCell ref="C266:D266"/>
    <mergeCell ref="C267:D267"/>
    <mergeCell ref="C269:D269"/>
    <mergeCell ref="C251:D251"/>
    <mergeCell ref="C252:D252"/>
    <mergeCell ref="C254:D254"/>
    <mergeCell ref="C256:D256"/>
    <mergeCell ref="C257:D257"/>
    <mergeCell ref="C259:D259"/>
    <mergeCell ref="C239:D239"/>
    <mergeCell ref="C241:D241"/>
    <mergeCell ref="C243:D243"/>
    <mergeCell ref="C245:D245"/>
    <mergeCell ref="C247:D247"/>
    <mergeCell ref="C249:D249"/>
    <mergeCell ref="C226:D226"/>
    <mergeCell ref="C229:D229"/>
    <mergeCell ref="C231:D231"/>
    <mergeCell ref="C233:D233"/>
    <mergeCell ref="C235:D235"/>
    <mergeCell ref="C237:D237"/>
    <mergeCell ref="C215:D215"/>
    <mergeCell ref="C217:D217"/>
    <mergeCell ref="C219:D219"/>
    <mergeCell ref="C221:D221"/>
    <mergeCell ref="C223:D223"/>
    <mergeCell ref="C225:D225"/>
    <mergeCell ref="C199:D199"/>
    <mergeCell ref="C203:D203"/>
    <mergeCell ref="C205:D205"/>
    <mergeCell ref="C207:D207"/>
    <mergeCell ref="C209:D209"/>
    <mergeCell ref="C213:D213"/>
    <mergeCell ref="C180:D180"/>
    <mergeCell ref="C183:D183"/>
    <mergeCell ref="C186:D186"/>
    <mergeCell ref="C189:D189"/>
    <mergeCell ref="C192:D192"/>
    <mergeCell ref="C196:D196"/>
    <mergeCell ref="C165:D165"/>
    <mergeCell ref="C168:D168"/>
    <mergeCell ref="C170:D170"/>
    <mergeCell ref="C172:D172"/>
    <mergeCell ref="C173:D173"/>
    <mergeCell ref="C177:D177"/>
    <mergeCell ref="C155:D155"/>
    <mergeCell ref="C156:D156"/>
    <mergeCell ref="C158:D158"/>
    <mergeCell ref="C160:D160"/>
    <mergeCell ref="C161:D161"/>
    <mergeCell ref="C163:D163"/>
    <mergeCell ref="C144:D144"/>
    <mergeCell ref="C146:D146"/>
    <mergeCell ref="C148:D148"/>
    <mergeCell ref="C150:D150"/>
    <mergeCell ref="C152:D152"/>
    <mergeCell ref="C153:D153"/>
    <mergeCell ref="C132:D132"/>
    <mergeCell ref="C134:D134"/>
    <mergeCell ref="C136:D136"/>
    <mergeCell ref="C138:D138"/>
    <mergeCell ref="C141:D141"/>
    <mergeCell ref="C143:D143"/>
    <mergeCell ref="C122:D122"/>
    <mergeCell ref="C123:D123"/>
    <mergeCell ref="C125:D125"/>
    <mergeCell ref="C127:D127"/>
    <mergeCell ref="C128:D128"/>
    <mergeCell ref="C130:D130"/>
    <mergeCell ref="C107:D107"/>
    <mergeCell ref="C112:D112"/>
    <mergeCell ref="C113:D113"/>
    <mergeCell ref="C115:D115"/>
    <mergeCell ref="C117:D117"/>
    <mergeCell ref="C118:D118"/>
    <mergeCell ref="C84:D84"/>
    <mergeCell ref="C90:D90"/>
    <mergeCell ref="C92:D92"/>
    <mergeCell ref="C96:D96"/>
    <mergeCell ref="C98:D98"/>
    <mergeCell ref="C105:D105"/>
    <mergeCell ref="C72:D72"/>
    <mergeCell ref="C74:D74"/>
    <mergeCell ref="C76:D76"/>
    <mergeCell ref="C78:D78"/>
    <mergeCell ref="C80:D80"/>
    <mergeCell ref="C82:D82"/>
    <mergeCell ref="C50:D50"/>
    <mergeCell ref="C52:D52"/>
    <mergeCell ref="C53:D53"/>
    <mergeCell ref="C58:D58"/>
    <mergeCell ref="C64:D64"/>
    <mergeCell ref="C70:D70"/>
    <mergeCell ref="C40:D40"/>
    <mergeCell ref="C41:D41"/>
    <mergeCell ref="C43:D43"/>
    <mergeCell ref="C45:D45"/>
    <mergeCell ref="C47:D47"/>
    <mergeCell ref="C49:D49"/>
    <mergeCell ref="C30:D30"/>
    <mergeCell ref="C31:D31"/>
    <mergeCell ref="C33:D33"/>
    <mergeCell ref="C35:D35"/>
    <mergeCell ref="C37:D37"/>
    <mergeCell ref="C38:D38"/>
    <mergeCell ref="C18:D18"/>
    <mergeCell ref="C20:D20"/>
    <mergeCell ref="C22:D22"/>
    <mergeCell ref="C23:D23"/>
    <mergeCell ref="C25:D25"/>
    <mergeCell ref="C28:D28"/>
    <mergeCell ref="C11:D11"/>
    <mergeCell ref="H10:J10"/>
    <mergeCell ref="C12:D12"/>
    <mergeCell ref="C13:D13"/>
    <mergeCell ref="C15:D15"/>
    <mergeCell ref="C17:D17"/>
    <mergeCell ref="G8:G9"/>
    <mergeCell ref="I2:K3"/>
    <mergeCell ref="I4:K5"/>
    <mergeCell ref="I6:K7"/>
    <mergeCell ref="I8:K9"/>
    <mergeCell ref="C10:D10"/>
    <mergeCell ref="H4:H5"/>
    <mergeCell ref="H6:H7"/>
    <mergeCell ref="H8:H9"/>
    <mergeCell ref="C2:D3"/>
    <mergeCell ref="C4:D5"/>
    <mergeCell ref="C6:D7"/>
    <mergeCell ref="C8:D9"/>
    <mergeCell ref="G2:G3"/>
    <mergeCell ref="G4:G5"/>
    <mergeCell ref="G6:G7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37"/>
  <sheetViews>
    <sheetView showOutlineSymbols="0" workbookViewId="0">
      <selection activeCell="A37" sqref="A37:I37"/>
    </sheetView>
  </sheetViews>
  <sheetFormatPr defaultColWidth="14.1640625" defaultRowHeight="15" customHeight="1"/>
  <cols>
    <col min="1" max="1" width="10.6640625"/>
    <col min="2" max="2" width="15"/>
    <col min="3" max="3" width="31.6640625"/>
    <col min="4" max="4" width="11.6640625"/>
    <col min="5" max="5" width="16.33203125"/>
    <col min="6" max="6" width="31.6640625"/>
    <col min="7" max="7" width="10.6640625"/>
    <col min="8" max="8" width="15"/>
    <col min="9" max="9" width="31.6640625"/>
  </cols>
  <sheetData>
    <row r="1" spans="1:9" ht="54.75" customHeight="1">
      <c r="A1" s="83" t="s">
        <v>158</v>
      </c>
      <c r="B1" s="59"/>
      <c r="C1" s="59"/>
      <c r="D1" s="59"/>
      <c r="E1" s="59"/>
      <c r="F1" s="59"/>
      <c r="G1" s="59"/>
      <c r="H1" s="59"/>
      <c r="I1" s="59"/>
    </row>
    <row r="2" spans="1:9" ht="15" customHeight="1">
      <c r="A2" s="60" t="s">
        <v>31</v>
      </c>
      <c r="B2" s="61"/>
      <c r="C2" s="67" t="str">
        <f>'Stavební rozpočet'!C2</f>
        <v>Snížení energetické náročnosti vč. rekonstrukce střechy</v>
      </c>
      <c r="D2" s="68"/>
      <c r="E2" s="65" t="s">
        <v>598</v>
      </c>
      <c r="F2" s="65" t="str">
        <f>'Stavební rozpočet'!I2</f>
        <v>Město Budyně nad Ohří</v>
      </c>
      <c r="G2" s="61"/>
      <c r="H2" s="65" t="s">
        <v>461</v>
      </c>
      <c r="I2" s="70" t="s">
        <v>495</v>
      </c>
    </row>
    <row r="3" spans="1:9" ht="15" customHeight="1">
      <c r="A3" s="62"/>
      <c r="B3" s="63"/>
      <c r="C3" s="69"/>
      <c r="D3" s="69"/>
      <c r="E3" s="63"/>
      <c r="F3" s="63"/>
      <c r="G3" s="63"/>
      <c r="H3" s="63"/>
      <c r="I3" s="71"/>
    </row>
    <row r="4" spans="1:9" ht="15" customHeight="1">
      <c r="A4" s="64" t="s">
        <v>393</v>
      </c>
      <c r="B4" s="63"/>
      <c r="C4" s="66" t="str">
        <f>'Stavební rozpočet'!C4</f>
        <v>Budova Školní knihovny</v>
      </c>
      <c r="D4" s="63"/>
      <c r="E4" s="66" t="s">
        <v>492</v>
      </c>
      <c r="F4" s="66" t="str">
        <f>'Stavební rozpočet'!I4</f>
        <v>Kamila Možná</v>
      </c>
      <c r="G4" s="63"/>
      <c r="H4" s="66" t="s">
        <v>461</v>
      </c>
      <c r="I4" s="71" t="s">
        <v>495</v>
      </c>
    </row>
    <row r="5" spans="1:9" ht="15" customHeight="1">
      <c r="A5" s="62"/>
      <c r="B5" s="63"/>
      <c r="C5" s="63"/>
      <c r="D5" s="63"/>
      <c r="E5" s="63"/>
      <c r="F5" s="63"/>
      <c r="G5" s="63"/>
      <c r="H5" s="63"/>
      <c r="I5" s="71"/>
    </row>
    <row r="6" spans="1:9" ht="15" customHeight="1">
      <c r="A6" s="64" t="s">
        <v>44</v>
      </c>
      <c r="B6" s="63"/>
      <c r="C6" s="66" t="str">
        <f>'Stavební rozpočet'!C6</f>
        <v>st.p.č. 386/3 Budyně nad Ohří</v>
      </c>
      <c r="D6" s="63"/>
      <c r="E6" s="66" t="s">
        <v>622</v>
      </c>
      <c r="F6" s="66" t="str">
        <f>'Stavební rozpočet'!I6</f>
        <v> </v>
      </c>
      <c r="G6" s="63"/>
      <c r="H6" s="66" t="s">
        <v>461</v>
      </c>
      <c r="I6" s="71" t="s">
        <v>495</v>
      </c>
    </row>
    <row r="7" spans="1:9" ht="15" customHeight="1">
      <c r="A7" s="62"/>
      <c r="B7" s="63"/>
      <c r="C7" s="63"/>
      <c r="D7" s="63"/>
      <c r="E7" s="63"/>
      <c r="F7" s="63"/>
      <c r="G7" s="63"/>
      <c r="H7" s="63"/>
      <c r="I7" s="71"/>
    </row>
    <row r="8" spans="1:9" ht="15" customHeight="1">
      <c r="A8" s="64" t="s">
        <v>636</v>
      </c>
      <c r="B8" s="63"/>
      <c r="C8" s="66" t="str">
        <f>'Stavební rozpočet'!G4</f>
        <v>26.02.2024</v>
      </c>
      <c r="D8" s="63"/>
      <c r="E8" s="66" t="s">
        <v>211</v>
      </c>
      <c r="F8" s="66" t="str">
        <f>'Stavební rozpočet'!G6</f>
        <v xml:space="preserve"> </v>
      </c>
      <c r="G8" s="63"/>
      <c r="H8" s="63" t="s">
        <v>699</v>
      </c>
      <c r="I8" s="85">
        <v>138</v>
      </c>
    </row>
    <row r="9" spans="1:9" ht="15" customHeight="1">
      <c r="A9" s="62"/>
      <c r="B9" s="63"/>
      <c r="C9" s="63"/>
      <c r="D9" s="63"/>
      <c r="E9" s="63"/>
      <c r="F9" s="63"/>
      <c r="G9" s="63"/>
      <c r="H9" s="63"/>
      <c r="I9" s="71"/>
    </row>
    <row r="10" spans="1:9" ht="15" customHeight="1">
      <c r="A10" s="64" t="s">
        <v>350</v>
      </c>
      <c r="B10" s="63"/>
      <c r="C10" s="66" t="str">
        <f>'Stavební rozpočet'!C8</f>
        <v xml:space="preserve"> </v>
      </c>
      <c r="D10" s="63"/>
      <c r="E10" s="66" t="s">
        <v>478</v>
      </c>
      <c r="F10" s="66" t="str">
        <f>'Stavební rozpočet'!I8</f>
        <v>Kamila Možná</v>
      </c>
      <c r="G10" s="63"/>
      <c r="H10" s="63" t="s">
        <v>680</v>
      </c>
      <c r="I10" s="86" t="str">
        <f>'Stavební rozpočet'!G8</f>
        <v>26.02.2024</v>
      </c>
    </row>
    <row r="11" spans="1:9" ht="15" customHeight="1">
      <c r="A11" s="84"/>
      <c r="B11" s="82"/>
      <c r="C11" s="82"/>
      <c r="D11" s="82"/>
      <c r="E11" s="82"/>
      <c r="F11" s="82"/>
      <c r="G11" s="82"/>
      <c r="H11" s="82"/>
      <c r="I11" s="87"/>
    </row>
    <row r="12" spans="1:9" ht="22.5" customHeight="1">
      <c r="A12" s="88" t="s">
        <v>110</v>
      </c>
      <c r="B12" s="88"/>
      <c r="C12" s="88"/>
      <c r="D12" s="88"/>
      <c r="E12" s="88"/>
      <c r="F12" s="88"/>
      <c r="G12" s="88"/>
      <c r="H12" s="88"/>
      <c r="I12" s="88"/>
    </row>
    <row r="13" spans="1:9" ht="26.25" customHeight="1">
      <c r="A13" s="41" t="s">
        <v>639</v>
      </c>
      <c r="B13" s="89" t="s">
        <v>74</v>
      </c>
      <c r="C13" s="90"/>
      <c r="D13" s="18" t="s">
        <v>119</v>
      </c>
      <c r="E13" s="89" t="s">
        <v>252</v>
      </c>
      <c r="F13" s="90"/>
      <c r="G13" s="18" t="s">
        <v>453</v>
      </c>
      <c r="H13" s="89" t="s">
        <v>121</v>
      </c>
      <c r="I13" s="90"/>
    </row>
    <row r="14" spans="1:9" ht="15" customHeight="1">
      <c r="A14" s="9" t="s">
        <v>263</v>
      </c>
      <c r="B14" s="35" t="s">
        <v>171</v>
      </c>
      <c r="C14" s="55">
        <f>SUM('Stavební rozpočet'!AB12:AB371)</f>
        <v>0</v>
      </c>
      <c r="D14" s="97" t="s">
        <v>509</v>
      </c>
      <c r="E14" s="98"/>
      <c r="F14" s="55">
        <f>VORN!I15</f>
        <v>0</v>
      </c>
      <c r="G14" s="97" t="s">
        <v>56</v>
      </c>
      <c r="H14" s="98"/>
      <c r="I14" s="53">
        <f>VORN!I21</f>
        <v>0</v>
      </c>
    </row>
    <row r="15" spans="1:9" ht="15" customHeight="1">
      <c r="A15" s="34" t="s">
        <v>495</v>
      </c>
      <c r="B15" s="35" t="s">
        <v>126</v>
      </c>
      <c r="C15" s="55">
        <f>SUM('Stavební rozpočet'!AC12:AC371)</f>
        <v>0</v>
      </c>
      <c r="D15" s="97" t="s">
        <v>53</v>
      </c>
      <c r="E15" s="98"/>
      <c r="F15" s="55">
        <f>VORN!I16</f>
        <v>0</v>
      </c>
      <c r="G15" s="97" t="s">
        <v>562</v>
      </c>
      <c r="H15" s="98"/>
      <c r="I15" s="53">
        <f>VORN!I22</f>
        <v>0</v>
      </c>
    </row>
    <row r="16" spans="1:9" ht="15" customHeight="1">
      <c r="A16" s="9" t="s">
        <v>50</v>
      </c>
      <c r="B16" s="35" t="s">
        <v>171</v>
      </c>
      <c r="C16" s="55">
        <f>SUM('Stavební rozpočet'!AD12:AD371)</f>
        <v>0</v>
      </c>
      <c r="D16" s="97" t="s">
        <v>522</v>
      </c>
      <c r="E16" s="98"/>
      <c r="F16" s="55">
        <f>VORN!I17</f>
        <v>0</v>
      </c>
      <c r="G16" s="97" t="s">
        <v>673</v>
      </c>
      <c r="H16" s="98"/>
      <c r="I16" s="53">
        <f>VORN!I23</f>
        <v>0</v>
      </c>
    </row>
    <row r="17" spans="1:9" ht="15" customHeight="1">
      <c r="A17" s="34" t="s">
        <v>495</v>
      </c>
      <c r="B17" s="35" t="s">
        <v>126</v>
      </c>
      <c r="C17" s="55">
        <f>SUM('Stavební rozpočet'!AE12:AE371)</f>
        <v>0</v>
      </c>
      <c r="D17" s="97" t="s">
        <v>495</v>
      </c>
      <c r="E17" s="98"/>
      <c r="F17" s="53" t="s">
        <v>495</v>
      </c>
      <c r="G17" s="97" t="s">
        <v>382</v>
      </c>
      <c r="H17" s="98"/>
      <c r="I17" s="53">
        <f>VORN!I24</f>
        <v>0</v>
      </c>
    </row>
    <row r="18" spans="1:9" ht="15" customHeight="1">
      <c r="A18" s="9" t="s">
        <v>202</v>
      </c>
      <c r="B18" s="35" t="s">
        <v>171</v>
      </c>
      <c r="C18" s="55">
        <f>SUM('Stavební rozpočet'!AF12:AF371)</f>
        <v>0</v>
      </c>
      <c r="D18" s="97" t="s">
        <v>495</v>
      </c>
      <c r="E18" s="98"/>
      <c r="F18" s="53" t="s">
        <v>495</v>
      </c>
      <c r="G18" s="97" t="s">
        <v>463</v>
      </c>
      <c r="H18" s="98"/>
      <c r="I18" s="53">
        <f>VORN!I25</f>
        <v>0</v>
      </c>
    </row>
    <row r="19" spans="1:9" ht="15" customHeight="1">
      <c r="A19" s="34" t="s">
        <v>495</v>
      </c>
      <c r="B19" s="35" t="s">
        <v>126</v>
      </c>
      <c r="C19" s="55">
        <f>SUM('Stavební rozpočet'!AG12:AG371)</f>
        <v>0</v>
      </c>
      <c r="D19" s="97" t="s">
        <v>495</v>
      </c>
      <c r="E19" s="98"/>
      <c r="F19" s="53" t="s">
        <v>495</v>
      </c>
      <c r="G19" s="97" t="s">
        <v>690</v>
      </c>
      <c r="H19" s="98"/>
      <c r="I19" s="53">
        <f>VORN!I26</f>
        <v>0</v>
      </c>
    </row>
    <row r="20" spans="1:9" ht="15" customHeight="1">
      <c r="A20" s="91" t="s">
        <v>32</v>
      </c>
      <c r="B20" s="92"/>
      <c r="C20" s="55">
        <f>SUM('Stavební rozpočet'!AH12:AH371)</f>
        <v>0</v>
      </c>
      <c r="D20" s="97" t="s">
        <v>495</v>
      </c>
      <c r="E20" s="98"/>
      <c r="F20" s="53" t="s">
        <v>495</v>
      </c>
      <c r="G20" s="97" t="s">
        <v>495</v>
      </c>
      <c r="H20" s="98"/>
      <c r="I20" s="53" t="s">
        <v>495</v>
      </c>
    </row>
    <row r="21" spans="1:9" ht="15" customHeight="1">
      <c r="A21" s="93" t="s">
        <v>689</v>
      </c>
      <c r="B21" s="94"/>
      <c r="C21" s="1">
        <f>SUM('Stavební rozpočet'!Z12:Z371)</f>
        <v>0</v>
      </c>
      <c r="D21" s="99" t="s">
        <v>495</v>
      </c>
      <c r="E21" s="100"/>
      <c r="F21" s="56" t="s">
        <v>495</v>
      </c>
      <c r="G21" s="99" t="s">
        <v>495</v>
      </c>
      <c r="H21" s="100"/>
      <c r="I21" s="56" t="s">
        <v>495</v>
      </c>
    </row>
    <row r="22" spans="1:9" ht="16.5" customHeight="1">
      <c r="A22" s="95" t="s">
        <v>133</v>
      </c>
      <c r="B22" s="96"/>
      <c r="C22" s="25">
        <f>SUM(C14:C21)</f>
        <v>0</v>
      </c>
      <c r="D22" s="101" t="s">
        <v>371</v>
      </c>
      <c r="E22" s="96"/>
      <c r="F22" s="25">
        <f>SUM(F14:F21)</f>
        <v>0</v>
      </c>
      <c r="G22" s="101" t="s">
        <v>700</v>
      </c>
      <c r="H22" s="96"/>
      <c r="I22" s="25">
        <f>SUM(I14:I21)</f>
        <v>0</v>
      </c>
    </row>
    <row r="23" spans="1:9" ht="15" customHeight="1">
      <c r="D23" s="91" t="s">
        <v>566</v>
      </c>
      <c r="E23" s="92"/>
      <c r="F23" s="7">
        <v>0</v>
      </c>
      <c r="G23" s="102" t="s">
        <v>22</v>
      </c>
      <c r="H23" s="92"/>
      <c r="I23" s="55">
        <v>0</v>
      </c>
    </row>
    <row r="24" spans="1:9" ht="15" customHeight="1">
      <c r="G24" s="91" t="s">
        <v>428</v>
      </c>
      <c r="H24" s="92"/>
      <c r="I24" s="1">
        <f>vorn_sum</f>
        <v>0</v>
      </c>
    </row>
    <row r="25" spans="1:9" ht="15" customHeight="1">
      <c r="G25" s="91" t="s">
        <v>205</v>
      </c>
      <c r="H25" s="92"/>
      <c r="I25" s="25">
        <v>0</v>
      </c>
    </row>
    <row r="27" spans="1:9" ht="15" customHeight="1">
      <c r="A27" s="103" t="s">
        <v>286</v>
      </c>
      <c r="B27" s="104"/>
      <c r="C27" s="52">
        <f>SUM('Stavební rozpočet'!AJ12:AJ371)</f>
        <v>0</v>
      </c>
    </row>
    <row r="28" spans="1:9" ht="15" customHeight="1">
      <c r="A28" s="105" t="s">
        <v>593</v>
      </c>
      <c r="B28" s="106"/>
      <c r="C28" s="48">
        <f>SUM('Stavební rozpočet'!AK12:AK371)</f>
        <v>0</v>
      </c>
      <c r="D28" s="104" t="s">
        <v>678</v>
      </c>
      <c r="E28" s="104"/>
      <c r="F28" s="52">
        <f>ROUND(C28*(12/100),2)</f>
        <v>0</v>
      </c>
      <c r="G28" s="104" t="s">
        <v>92</v>
      </c>
      <c r="H28" s="104"/>
      <c r="I28" s="52">
        <f>SUM(C27:C29)</f>
        <v>0</v>
      </c>
    </row>
    <row r="29" spans="1:9" ht="15" customHeight="1">
      <c r="A29" s="105" t="s">
        <v>18</v>
      </c>
      <c r="B29" s="106"/>
      <c r="C29" s="48">
        <f>SUM('Stavební rozpočet'!AL12:AL371)+(F22+I22+F23+I23+I24+I25)</f>
        <v>0</v>
      </c>
      <c r="D29" s="106" t="s">
        <v>527</v>
      </c>
      <c r="E29" s="106"/>
      <c r="F29" s="48">
        <f>ROUND(C29*(21/100),2)</f>
        <v>0</v>
      </c>
      <c r="G29" s="106" t="s">
        <v>282</v>
      </c>
      <c r="H29" s="106"/>
      <c r="I29" s="48">
        <f>SUM(F28:F29)+I28</f>
        <v>0</v>
      </c>
    </row>
    <row r="31" spans="1:9" ht="15" customHeight="1">
      <c r="A31" s="107" t="s">
        <v>5</v>
      </c>
      <c r="B31" s="108"/>
      <c r="C31" s="109"/>
      <c r="D31" s="108" t="s">
        <v>663</v>
      </c>
      <c r="E31" s="108"/>
      <c r="F31" s="109"/>
      <c r="G31" s="108" t="s">
        <v>487</v>
      </c>
      <c r="H31" s="108"/>
      <c r="I31" s="109"/>
    </row>
    <row r="32" spans="1:9" ht="15" customHeight="1">
      <c r="A32" s="110" t="s">
        <v>495</v>
      </c>
      <c r="B32" s="99"/>
      <c r="C32" s="111"/>
      <c r="D32" s="99" t="s">
        <v>495</v>
      </c>
      <c r="E32" s="99"/>
      <c r="F32" s="111"/>
      <c r="G32" s="99" t="s">
        <v>495</v>
      </c>
      <c r="H32" s="99"/>
      <c r="I32" s="111"/>
    </row>
    <row r="33" spans="1:9" ht="15" customHeight="1">
      <c r="A33" s="110" t="s">
        <v>495</v>
      </c>
      <c r="B33" s="99"/>
      <c r="C33" s="111"/>
      <c r="D33" s="99" t="s">
        <v>495</v>
      </c>
      <c r="E33" s="99"/>
      <c r="F33" s="111"/>
      <c r="G33" s="99" t="s">
        <v>495</v>
      </c>
      <c r="H33" s="99"/>
      <c r="I33" s="111"/>
    </row>
    <row r="34" spans="1:9" ht="15" customHeight="1">
      <c r="A34" s="110" t="s">
        <v>495</v>
      </c>
      <c r="B34" s="99"/>
      <c r="C34" s="111"/>
      <c r="D34" s="99" t="s">
        <v>495</v>
      </c>
      <c r="E34" s="99"/>
      <c r="F34" s="111"/>
      <c r="G34" s="99" t="s">
        <v>495</v>
      </c>
      <c r="H34" s="99"/>
      <c r="I34" s="111"/>
    </row>
    <row r="35" spans="1:9" ht="15" customHeight="1">
      <c r="A35" s="112" t="s">
        <v>128</v>
      </c>
      <c r="B35" s="113"/>
      <c r="C35" s="114"/>
      <c r="D35" s="113" t="s">
        <v>128</v>
      </c>
      <c r="E35" s="113"/>
      <c r="F35" s="114"/>
      <c r="G35" s="113" t="s">
        <v>128</v>
      </c>
      <c r="H35" s="113"/>
      <c r="I35" s="114"/>
    </row>
    <row r="36" spans="1:9" ht="15" customHeight="1">
      <c r="A36" s="10" t="s">
        <v>42</v>
      </c>
    </row>
    <row r="37" spans="1:9" ht="12.75" customHeight="1">
      <c r="A37" s="66" t="s">
        <v>495</v>
      </c>
      <c r="B37" s="63"/>
      <c r="C37" s="63"/>
      <c r="D37" s="63"/>
      <c r="E37" s="63"/>
      <c r="F37" s="63"/>
      <c r="G37" s="63"/>
      <c r="H37" s="63"/>
      <c r="I37" s="63"/>
    </row>
  </sheetData>
  <mergeCells count="83">
    <mergeCell ref="G31:I31"/>
    <mergeCell ref="G32:I32"/>
    <mergeCell ref="G33:I33"/>
    <mergeCell ref="G34:I34"/>
    <mergeCell ref="G35:I35"/>
    <mergeCell ref="A37:I37"/>
    <mergeCell ref="A31:C31"/>
    <mergeCell ref="A32:C32"/>
    <mergeCell ref="A33:C33"/>
    <mergeCell ref="A34:C34"/>
    <mergeCell ref="A35:C35"/>
    <mergeCell ref="D31:F31"/>
    <mergeCell ref="D32:F32"/>
    <mergeCell ref="D33:F33"/>
    <mergeCell ref="D34:F34"/>
    <mergeCell ref="D35:F35"/>
    <mergeCell ref="A27:B27"/>
    <mergeCell ref="A28:B28"/>
    <mergeCell ref="A29:B29"/>
    <mergeCell ref="D28:E28"/>
    <mergeCell ref="D29:E29"/>
    <mergeCell ref="G28:H28"/>
    <mergeCell ref="G29:H29"/>
    <mergeCell ref="G20:H20"/>
    <mergeCell ref="G21:H21"/>
    <mergeCell ref="G22:H22"/>
    <mergeCell ref="G23:H23"/>
    <mergeCell ref="G24:H24"/>
    <mergeCell ref="G25:H25"/>
    <mergeCell ref="G14:H14"/>
    <mergeCell ref="G15:H15"/>
    <mergeCell ref="G16:H16"/>
    <mergeCell ref="G17:H17"/>
    <mergeCell ref="G18:H18"/>
    <mergeCell ref="G19:H19"/>
    <mergeCell ref="D18:E18"/>
    <mergeCell ref="D19:E19"/>
    <mergeCell ref="D20:E20"/>
    <mergeCell ref="D21:E21"/>
    <mergeCell ref="D22:E22"/>
    <mergeCell ref="D23:E23"/>
    <mergeCell ref="B13:C13"/>
    <mergeCell ref="E13:F13"/>
    <mergeCell ref="H13:I13"/>
    <mergeCell ref="A20:B20"/>
    <mergeCell ref="A21:B21"/>
    <mergeCell ref="A22:B22"/>
    <mergeCell ref="D14:E14"/>
    <mergeCell ref="D15:E15"/>
    <mergeCell ref="D16:E16"/>
    <mergeCell ref="D17:E17"/>
    <mergeCell ref="I2:I3"/>
    <mergeCell ref="I4:I5"/>
    <mergeCell ref="I6:I7"/>
    <mergeCell ref="I8:I9"/>
    <mergeCell ref="I10:I11"/>
    <mergeCell ref="A12:I12"/>
    <mergeCell ref="F2:G3"/>
    <mergeCell ref="F4:G5"/>
    <mergeCell ref="F6:G7"/>
    <mergeCell ref="F8:G9"/>
    <mergeCell ref="F10:G11"/>
    <mergeCell ref="H2:H3"/>
    <mergeCell ref="H4:H5"/>
    <mergeCell ref="H6:H7"/>
    <mergeCell ref="H8:H9"/>
    <mergeCell ref="H10:H11"/>
    <mergeCell ref="E10:E11"/>
    <mergeCell ref="C2:D3"/>
    <mergeCell ref="C4:D5"/>
    <mergeCell ref="C6:D7"/>
    <mergeCell ref="C8:D9"/>
    <mergeCell ref="C10:D11"/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</mergeCells>
  <pageMargins left="0.39400000000000002" right="0.39400000000000002" top="0.59099999999999997" bottom="0.59099999999999997" header="0" footer="0"/>
  <pageSetup paperSize="0" firstPageNumber="0" orientation="landscape" useFirstPageNumber="1" horizontalDpi="0" verticalDpi="0" copies="0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36"/>
  <sheetViews>
    <sheetView showOutlineSymbols="0" workbookViewId="0">
      <selection activeCell="A36" sqref="A36:E36"/>
    </sheetView>
  </sheetViews>
  <sheetFormatPr defaultColWidth="14.1640625" defaultRowHeight="15" customHeight="1"/>
  <cols>
    <col min="1" max="1" width="10.6640625"/>
    <col min="2" max="2" width="15"/>
    <col min="3" max="3" width="26.6640625"/>
    <col min="4" max="4" width="11.6640625"/>
    <col min="5" max="5" width="16.33203125"/>
    <col min="6" max="6" width="26.6640625"/>
    <col min="7" max="7" width="10.6640625"/>
    <col min="8" max="8" width="20"/>
    <col min="9" max="9" width="26.6640625"/>
  </cols>
  <sheetData>
    <row r="1" spans="1:9" ht="54.75" customHeight="1">
      <c r="A1" s="83" t="s">
        <v>95</v>
      </c>
      <c r="B1" s="59"/>
      <c r="C1" s="59"/>
      <c r="D1" s="59"/>
      <c r="E1" s="59"/>
      <c r="F1" s="59"/>
      <c r="G1" s="59"/>
      <c r="H1" s="59"/>
      <c r="I1" s="59"/>
    </row>
    <row r="2" spans="1:9" ht="15" customHeight="1">
      <c r="A2" s="60" t="s">
        <v>31</v>
      </c>
      <c r="B2" s="61"/>
      <c r="C2" s="67" t="str">
        <f>'Stavební rozpočet'!C2</f>
        <v>Snížení energetické náročnosti vč. rekonstrukce střechy</v>
      </c>
      <c r="D2" s="68"/>
      <c r="E2" s="65" t="s">
        <v>598</v>
      </c>
      <c r="F2" s="65" t="str">
        <f>'Stavební rozpočet'!I2</f>
        <v>Město Budyně nad Ohří</v>
      </c>
      <c r="G2" s="61"/>
      <c r="H2" s="65" t="s">
        <v>461</v>
      </c>
      <c r="I2" s="70" t="s">
        <v>495</v>
      </c>
    </row>
    <row r="3" spans="1:9" ht="15" customHeight="1">
      <c r="A3" s="62"/>
      <c r="B3" s="63"/>
      <c r="C3" s="69"/>
      <c r="D3" s="69"/>
      <c r="E3" s="63"/>
      <c r="F3" s="63"/>
      <c r="G3" s="63"/>
      <c r="H3" s="63"/>
      <c r="I3" s="71"/>
    </row>
    <row r="4" spans="1:9" ht="15" customHeight="1">
      <c r="A4" s="64" t="s">
        <v>393</v>
      </c>
      <c r="B4" s="63"/>
      <c r="C4" s="66" t="str">
        <f>'Stavební rozpočet'!C4</f>
        <v>Budova Školní knihovny</v>
      </c>
      <c r="D4" s="63"/>
      <c r="E4" s="66" t="s">
        <v>492</v>
      </c>
      <c r="F4" s="66" t="str">
        <f>'Stavební rozpočet'!I4</f>
        <v>Kamila Možná</v>
      </c>
      <c r="G4" s="63"/>
      <c r="H4" s="66" t="s">
        <v>461</v>
      </c>
      <c r="I4" s="71" t="s">
        <v>495</v>
      </c>
    </row>
    <row r="5" spans="1:9" ht="15" customHeight="1">
      <c r="A5" s="62"/>
      <c r="B5" s="63"/>
      <c r="C5" s="63"/>
      <c r="D5" s="63"/>
      <c r="E5" s="63"/>
      <c r="F5" s="63"/>
      <c r="G5" s="63"/>
      <c r="H5" s="63"/>
      <c r="I5" s="71"/>
    </row>
    <row r="6" spans="1:9" ht="15" customHeight="1">
      <c r="A6" s="64" t="s">
        <v>44</v>
      </c>
      <c r="B6" s="63"/>
      <c r="C6" s="66" t="str">
        <f>'Stavební rozpočet'!C6</f>
        <v>st.p.č. 386/3 Budyně nad Ohří</v>
      </c>
      <c r="D6" s="63"/>
      <c r="E6" s="66" t="s">
        <v>622</v>
      </c>
      <c r="F6" s="66" t="str">
        <f>'Stavební rozpočet'!I6</f>
        <v> </v>
      </c>
      <c r="G6" s="63"/>
      <c r="H6" s="66" t="s">
        <v>461</v>
      </c>
      <c r="I6" s="71" t="s">
        <v>495</v>
      </c>
    </row>
    <row r="7" spans="1:9" ht="15" customHeight="1">
      <c r="A7" s="62"/>
      <c r="B7" s="63"/>
      <c r="C7" s="63"/>
      <c r="D7" s="63"/>
      <c r="E7" s="63"/>
      <c r="F7" s="63"/>
      <c r="G7" s="63"/>
      <c r="H7" s="63"/>
      <c r="I7" s="71"/>
    </row>
    <row r="8" spans="1:9" ht="15" customHeight="1">
      <c r="A8" s="64" t="s">
        <v>636</v>
      </c>
      <c r="B8" s="63"/>
      <c r="C8" s="66" t="str">
        <f>'Stavební rozpočet'!G4</f>
        <v>26.02.2024</v>
      </c>
      <c r="D8" s="63"/>
      <c r="E8" s="66" t="s">
        <v>211</v>
      </c>
      <c r="F8" s="66" t="str">
        <f>'Stavební rozpočet'!G6</f>
        <v xml:space="preserve"> </v>
      </c>
      <c r="G8" s="63"/>
      <c r="H8" s="63" t="s">
        <v>699</v>
      </c>
      <c r="I8" s="85">
        <v>138</v>
      </c>
    </row>
    <row r="9" spans="1:9" ht="15" customHeight="1">
      <c r="A9" s="62"/>
      <c r="B9" s="63"/>
      <c r="C9" s="63"/>
      <c r="D9" s="63"/>
      <c r="E9" s="63"/>
      <c r="F9" s="63"/>
      <c r="G9" s="63"/>
      <c r="H9" s="63"/>
      <c r="I9" s="71"/>
    </row>
    <row r="10" spans="1:9" ht="15" customHeight="1">
      <c r="A10" s="64" t="s">
        <v>350</v>
      </c>
      <c r="B10" s="63"/>
      <c r="C10" s="66" t="str">
        <f>'Stavební rozpočet'!C8</f>
        <v xml:space="preserve"> </v>
      </c>
      <c r="D10" s="63"/>
      <c r="E10" s="66" t="s">
        <v>478</v>
      </c>
      <c r="F10" s="66" t="str">
        <f>'Stavební rozpočet'!I8</f>
        <v>Kamila Možná</v>
      </c>
      <c r="G10" s="63"/>
      <c r="H10" s="63" t="s">
        <v>680</v>
      </c>
      <c r="I10" s="86" t="str">
        <f>'Stavební rozpočet'!G8</f>
        <v>26.02.2024</v>
      </c>
    </row>
    <row r="11" spans="1:9" ht="15" customHeight="1">
      <c r="A11" s="84"/>
      <c r="B11" s="82"/>
      <c r="C11" s="82"/>
      <c r="D11" s="82"/>
      <c r="E11" s="82"/>
      <c r="F11" s="82"/>
      <c r="G11" s="82"/>
      <c r="H11" s="82"/>
      <c r="I11" s="87"/>
    </row>
    <row r="13" spans="1:9" ht="15.75" customHeight="1">
      <c r="A13" s="115" t="s">
        <v>266</v>
      </c>
      <c r="B13" s="115"/>
      <c r="C13" s="115"/>
      <c r="D13" s="115"/>
      <c r="E13" s="115"/>
    </row>
    <row r="14" spans="1:9" ht="15" customHeight="1">
      <c r="A14" s="116" t="s">
        <v>765</v>
      </c>
      <c r="B14" s="117"/>
      <c r="C14" s="117"/>
      <c r="D14" s="117"/>
      <c r="E14" s="118"/>
      <c r="F14" s="46" t="s">
        <v>719</v>
      </c>
      <c r="G14" s="46" t="s">
        <v>625</v>
      </c>
      <c r="H14" s="46" t="s">
        <v>165</v>
      </c>
      <c r="I14" s="46" t="s">
        <v>719</v>
      </c>
    </row>
    <row r="15" spans="1:9" ht="15" customHeight="1">
      <c r="A15" s="84" t="s">
        <v>509</v>
      </c>
      <c r="B15" s="82"/>
      <c r="C15" s="82"/>
      <c r="D15" s="82"/>
      <c r="E15" s="87"/>
      <c r="F15" s="8">
        <v>0</v>
      </c>
      <c r="G15" s="31" t="s">
        <v>495</v>
      </c>
      <c r="H15" s="31" t="s">
        <v>495</v>
      </c>
      <c r="I15" s="8">
        <f>F15</f>
        <v>0</v>
      </c>
    </row>
    <row r="16" spans="1:9" ht="15" customHeight="1">
      <c r="A16" s="84" t="s">
        <v>53</v>
      </c>
      <c r="B16" s="82"/>
      <c r="C16" s="82"/>
      <c r="D16" s="82"/>
      <c r="E16" s="87"/>
      <c r="F16" s="8">
        <v>0</v>
      </c>
      <c r="G16" s="31" t="s">
        <v>495</v>
      </c>
      <c r="H16" s="31" t="s">
        <v>495</v>
      </c>
      <c r="I16" s="8">
        <f>F16</f>
        <v>0</v>
      </c>
    </row>
    <row r="17" spans="1:9" ht="15" customHeight="1">
      <c r="A17" s="62" t="s">
        <v>522</v>
      </c>
      <c r="B17" s="63"/>
      <c r="C17" s="63"/>
      <c r="D17" s="63"/>
      <c r="E17" s="71"/>
      <c r="F17" s="38">
        <v>0</v>
      </c>
      <c r="G17" s="6" t="s">
        <v>495</v>
      </c>
      <c r="H17" s="6" t="s">
        <v>495</v>
      </c>
      <c r="I17" s="38">
        <f>F17</f>
        <v>0</v>
      </c>
    </row>
    <row r="18" spans="1:9" ht="15" customHeight="1">
      <c r="A18" s="119" t="s">
        <v>744</v>
      </c>
      <c r="B18" s="120"/>
      <c r="C18" s="120"/>
      <c r="D18" s="120"/>
      <c r="E18" s="121"/>
      <c r="F18" s="32" t="s">
        <v>495</v>
      </c>
      <c r="G18" s="30" t="s">
        <v>495</v>
      </c>
      <c r="H18" s="30" t="s">
        <v>495</v>
      </c>
      <c r="I18" s="3">
        <f>SUM(I15:I17)</f>
        <v>0</v>
      </c>
    </row>
    <row r="20" spans="1:9" ht="15" customHeight="1">
      <c r="A20" s="116" t="s">
        <v>121</v>
      </c>
      <c r="B20" s="117"/>
      <c r="C20" s="117"/>
      <c r="D20" s="117"/>
      <c r="E20" s="118"/>
      <c r="F20" s="46" t="s">
        <v>719</v>
      </c>
      <c r="G20" s="46" t="s">
        <v>625</v>
      </c>
      <c r="H20" s="46" t="s">
        <v>165</v>
      </c>
      <c r="I20" s="46" t="s">
        <v>719</v>
      </c>
    </row>
    <row r="21" spans="1:9" ht="15" customHeight="1">
      <c r="A21" s="84" t="s">
        <v>56</v>
      </c>
      <c r="B21" s="82"/>
      <c r="C21" s="82"/>
      <c r="D21" s="82"/>
      <c r="E21" s="87"/>
      <c r="F21" s="8">
        <v>0</v>
      </c>
      <c r="G21" s="31" t="s">
        <v>495</v>
      </c>
      <c r="H21" s="31" t="s">
        <v>495</v>
      </c>
      <c r="I21" s="8">
        <f t="shared" ref="I21:I26" si="0">F21</f>
        <v>0</v>
      </c>
    </row>
    <row r="22" spans="1:9" ht="15" customHeight="1">
      <c r="A22" s="84" t="s">
        <v>562</v>
      </c>
      <c r="B22" s="82"/>
      <c r="C22" s="82"/>
      <c r="D22" s="82"/>
      <c r="E22" s="87"/>
      <c r="F22" s="8">
        <v>0</v>
      </c>
      <c r="G22" s="31" t="s">
        <v>495</v>
      </c>
      <c r="H22" s="31" t="s">
        <v>495</v>
      </c>
      <c r="I22" s="8">
        <f t="shared" si="0"/>
        <v>0</v>
      </c>
    </row>
    <row r="23" spans="1:9" ht="15" customHeight="1">
      <c r="A23" s="84" t="s">
        <v>673</v>
      </c>
      <c r="B23" s="82"/>
      <c r="C23" s="82"/>
      <c r="D23" s="82"/>
      <c r="E23" s="87"/>
      <c r="F23" s="8">
        <v>0</v>
      </c>
      <c r="G23" s="31" t="s">
        <v>495</v>
      </c>
      <c r="H23" s="31" t="s">
        <v>495</v>
      </c>
      <c r="I23" s="8">
        <f t="shared" si="0"/>
        <v>0</v>
      </c>
    </row>
    <row r="24" spans="1:9" ht="15" customHeight="1">
      <c r="A24" s="84" t="s">
        <v>382</v>
      </c>
      <c r="B24" s="82"/>
      <c r="C24" s="82"/>
      <c r="D24" s="82"/>
      <c r="E24" s="87"/>
      <c r="F24" s="8">
        <v>0</v>
      </c>
      <c r="G24" s="31" t="s">
        <v>495</v>
      </c>
      <c r="H24" s="31" t="s">
        <v>495</v>
      </c>
      <c r="I24" s="8">
        <f t="shared" si="0"/>
        <v>0</v>
      </c>
    </row>
    <row r="25" spans="1:9" ht="15" customHeight="1">
      <c r="A25" s="84" t="s">
        <v>463</v>
      </c>
      <c r="B25" s="82"/>
      <c r="C25" s="82"/>
      <c r="D25" s="82"/>
      <c r="E25" s="87"/>
      <c r="F25" s="8">
        <v>0</v>
      </c>
      <c r="G25" s="31" t="s">
        <v>495</v>
      </c>
      <c r="H25" s="31" t="s">
        <v>495</v>
      </c>
      <c r="I25" s="8">
        <f t="shared" si="0"/>
        <v>0</v>
      </c>
    </row>
    <row r="26" spans="1:9" ht="15" customHeight="1">
      <c r="A26" s="62" t="s">
        <v>690</v>
      </c>
      <c r="B26" s="63"/>
      <c r="C26" s="63"/>
      <c r="D26" s="63"/>
      <c r="E26" s="71"/>
      <c r="F26" s="38">
        <v>0</v>
      </c>
      <c r="G26" s="6" t="s">
        <v>495</v>
      </c>
      <c r="H26" s="6" t="s">
        <v>495</v>
      </c>
      <c r="I26" s="38">
        <f t="shared" si="0"/>
        <v>0</v>
      </c>
    </row>
    <row r="27" spans="1:9" ht="15" customHeight="1">
      <c r="A27" s="119" t="s">
        <v>284</v>
      </c>
      <c r="B27" s="120"/>
      <c r="C27" s="120"/>
      <c r="D27" s="120"/>
      <c r="E27" s="121"/>
      <c r="F27" s="32" t="s">
        <v>495</v>
      </c>
      <c r="G27" s="30" t="s">
        <v>495</v>
      </c>
      <c r="H27" s="30" t="s">
        <v>495</v>
      </c>
      <c r="I27" s="3">
        <f>SUM(I21:I26)</f>
        <v>0</v>
      </c>
    </row>
    <row r="29" spans="1:9" ht="15.75" customHeight="1">
      <c r="A29" s="122" t="s">
        <v>730</v>
      </c>
      <c r="B29" s="123"/>
      <c r="C29" s="123"/>
      <c r="D29" s="123"/>
      <c r="E29" s="124"/>
      <c r="F29" s="125">
        <f>I18+I27</f>
        <v>0</v>
      </c>
      <c r="G29" s="126"/>
      <c r="H29" s="126"/>
      <c r="I29" s="127"/>
    </row>
    <row r="33" spans="1:9" ht="15.75" customHeight="1">
      <c r="A33" s="115" t="s">
        <v>712</v>
      </c>
      <c r="B33" s="115"/>
      <c r="C33" s="115"/>
      <c r="D33" s="115"/>
      <c r="E33" s="115"/>
    </row>
    <row r="34" spans="1:9" ht="15" customHeight="1">
      <c r="A34" s="116" t="s">
        <v>743</v>
      </c>
      <c r="B34" s="117"/>
      <c r="C34" s="117"/>
      <c r="D34" s="117"/>
      <c r="E34" s="118"/>
      <c r="F34" s="46" t="s">
        <v>719</v>
      </c>
      <c r="G34" s="46" t="s">
        <v>625</v>
      </c>
      <c r="H34" s="46" t="s">
        <v>165</v>
      </c>
      <c r="I34" s="46" t="s">
        <v>719</v>
      </c>
    </row>
    <row r="35" spans="1:9" ht="15" customHeight="1">
      <c r="A35" s="62" t="s">
        <v>495</v>
      </c>
      <c r="B35" s="63"/>
      <c r="C35" s="63"/>
      <c r="D35" s="63"/>
      <c r="E35" s="71"/>
      <c r="F35" s="38">
        <v>0</v>
      </c>
      <c r="G35" s="6" t="s">
        <v>495</v>
      </c>
      <c r="H35" s="6" t="s">
        <v>495</v>
      </c>
      <c r="I35" s="38">
        <f>F35</f>
        <v>0</v>
      </c>
    </row>
    <row r="36" spans="1:9" ht="15" customHeight="1">
      <c r="A36" s="119" t="s">
        <v>248</v>
      </c>
      <c r="B36" s="120"/>
      <c r="C36" s="120"/>
      <c r="D36" s="120"/>
      <c r="E36" s="121"/>
      <c r="F36" s="32" t="s">
        <v>495</v>
      </c>
      <c r="G36" s="30" t="s">
        <v>495</v>
      </c>
      <c r="H36" s="30" t="s">
        <v>495</v>
      </c>
      <c r="I36" s="3">
        <f>SUM(I35:I35)</f>
        <v>0</v>
      </c>
    </row>
  </sheetData>
  <mergeCells count="51">
    <mergeCell ref="A36:E36"/>
    <mergeCell ref="A27:E27"/>
    <mergeCell ref="A29:E29"/>
    <mergeCell ref="F29:I29"/>
    <mergeCell ref="A33:E33"/>
    <mergeCell ref="A34:E34"/>
    <mergeCell ref="A35:E35"/>
    <mergeCell ref="A21:E21"/>
    <mergeCell ref="A22:E22"/>
    <mergeCell ref="A23:E23"/>
    <mergeCell ref="A24:E24"/>
    <mergeCell ref="A25:E25"/>
    <mergeCell ref="A26:E26"/>
    <mergeCell ref="A14:E14"/>
    <mergeCell ref="A15:E15"/>
    <mergeCell ref="A16:E16"/>
    <mergeCell ref="A17:E17"/>
    <mergeCell ref="A18:E18"/>
    <mergeCell ref="A20:E20"/>
    <mergeCell ref="I2:I3"/>
    <mergeCell ref="I4:I5"/>
    <mergeCell ref="I6:I7"/>
    <mergeCell ref="I8:I9"/>
    <mergeCell ref="I10:I11"/>
    <mergeCell ref="A13:E13"/>
    <mergeCell ref="C2:D3"/>
    <mergeCell ref="C4:D5"/>
    <mergeCell ref="C6:D7"/>
    <mergeCell ref="C8:D9"/>
    <mergeCell ref="C10:D11"/>
    <mergeCell ref="F2:G3"/>
    <mergeCell ref="F4:G5"/>
    <mergeCell ref="F6:G7"/>
    <mergeCell ref="F8:G9"/>
    <mergeCell ref="F10:G11"/>
    <mergeCell ref="E10:E11"/>
    <mergeCell ref="H2:H3"/>
    <mergeCell ref="H4:H5"/>
    <mergeCell ref="H6:H7"/>
    <mergeCell ref="H8:H9"/>
    <mergeCell ref="H10:H11"/>
    <mergeCell ref="A1:I1"/>
    <mergeCell ref="A2:B3"/>
    <mergeCell ref="A4:B5"/>
    <mergeCell ref="A6:B7"/>
    <mergeCell ref="A8:B9"/>
    <mergeCell ref="A10:B11"/>
    <mergeCell ref="E2:E3"/>
    <mergeCell ref="E4:E5"/>
    <mergeCell ref="E6:E7"/>
    <mergeCell ref="E8:E9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Kamila</cp:lastModifiedBy>
  <dcterms:created xsi:type="dcterms:W3CDTF">2021-06-10T20:06:38Z</dcterms:created>
  <dcterms:modified xsi:type="dcterms:W3CDTF">2024-02-27T07:41:50Z</dcterms:modified>
</cp:coreProperties>
</file>